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SESA17813\Documents\Syndicat\Tract\Jobmetre\"/>
    </mc:Choice>
  </mc:AlternateContent>
  <xr:revisionPtr revIDLastSave="0" documentId="13_ncr:1_{3E0E01B9-A2F0-48A3-BF09-1047D1DCC37C}" xr6:coauthVersionLast="47" xr6:coauthVersionMax="47" xr10:uidLastSave="{00000000-0000-0000-0000-000000000000}"/>
  <workbookProtection workbookAlgorithmName="SHA-512" workbookHashValue="aRxEUuxFLksBBBeR/Aw2mYnY8rf04AEJwGzldXgEiQxhs7BQz+G36iYeGSad1H7Jq4CCofDUnJGbpRW/hZZV7w==" workbookSaltValue="i5xWJ1QnEcaRo3R6+b3CRA==" workbookSpinCount="100000" lockStructure="1"/>
  <bookViews>
    <workbookView xWindow="-28920" yWindow="-4845" windowWidth="29040" windowHeight="15840" xr2:uid="{00000000-000D-0000-FFFF-FFFF00000000}"/>
  </bookViews>
  <sheets>
    <sheet name="calculation" sheetId="1" r:id="rId1"/>
    <sheet name="Données" sheetId="3" state="hidden" r:id="rId2"/>
    <sheet name="Summary sheet to print" sheetId="5" r:id="rId3"/>
    <sheet name="OATAM's Tables" sheetId="7" r:id="rId4"/>
    <sheet name="I&amp;C'sTables" sheetId="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1" l="1"/>
  <c r="J14" i="5" s="1"/>
  <c r="E27" i="1" l="1"/>
  <c r="G27" i="1" l="1"/>
  <c r="K12" i="5"/>
  <c r="F24" i="1"/>
  <c r="E29" i="1"/>
  <c r="K35" i="5" s="1"/>
  <c r="K33" i="5"/>
  <c r="K31" i="5"/>
  <c r="K23" i="5"/>
  <c r="K10" i="5"/>
  <c r="K8" i="5"/>
  <c r="G6" i="5"/>
  <c r="H4" i="5"/>
  <c r="C4" i="5"/>
  <c r="G12" i="1"/>
  <c r="F12" i="1" s="1"/>
  <c r="G13" i="1"/>
  <c r="D13" i="1" s="1"/>
  <c r="E5" i="1"/>
  <c r="D19" i="1" s="1"/>
  <c r="A19" i="1" s="1"/>
  <c r="E32" i="1"/>
  <c r="E39" i="1"/>
  <c r="K51" i="5" s="1"/>
  <c r="E38" i="1"/>
  <c r="E61" i="3"/>
  <c r="E60" i="3"/>
  <c r="E52" i="3"/>
  <c r="E47" i="3"/>
  <c r="E49" i="3" s="1"/>
  <c r="E50" i="3" s="1"/>
  <c r="E44" i="3"/>
  <c r="D35" i="3"/>
  <c r="E31" i="3"/>
  <c r="F19" i="3"/>
  <c r="C23" i="3"/>
  <c r="D18" i="3"/>
  <c r="D17" i="3"/>
  <c r="D16" i="3"/>
  <c r="D15" i="3"/>
  <c r="D9" i="3"/>
  <c r="D10" i="3"/>
  <c r="D11" i="3"/>
  <c r="D12" i="3"/>
  <c r="D13" i="3"/>
  <c r="D14" i="3"/>
  <c r="O6" i="3"/>
  <c r="N7" i="3"/>
  <c r="N4" i="3"/>
  <c r="N3" i="3"/>
  <c r="E54" i="3"/>
  <c r="N6" i="3"/>
  <c r="B33" i="3"/>
  <c r="K57" i="5" l="1"/>
  <c r="E62" i="3"/>
  <c r="E64" i="3" s="1"/>
  <c r="F40" i="5"/>
  <c r="J27" i="5"/>
  <c r="E40" i="1"/>
  <c r="E42" i="1" s="1"/>
  <c r="G42" i="1" s="1"/>
  <c r="D12" i="1"/>
  <c r="E34" i="1"/>
  <c r="G34" i="1" s="1"/>
  <c r="K25" i="5"/>
  <c r="K38" i="5"/>
  <c r="K50" i="5"/>
  <c r="F13" i="1"/>
  <c r="L27" i="5" l="1"/>
  <c r="K59" i="5"/>
  <c r="K53" i="5"/>
  <c r="K55" i="5" s="1"/>
  <c r="E35" i="1"/>
  <c r="J42" i="5" s="1"/>
  <c r="K40" i="5"/>
  <c r="J45" i="5" l="1"/>
  <c r="L45" i="5"/>
</calcChain>
</file>

<file path=xl/sharedStrings.xml><?xml version="1.0" encoding="utf-8"?>
<sst xmlns="http://schemas.openxmlformats.org/spreadsheetml/2006/main" count="201" uniqueCount="173">
  <si>
    <t>IC ou OATAM</t>
  </si>
  <si>
    <t>Catégorie Socio-professionnelle</t>
  </si>
  <si>
    <t>Goupe de poste ou grade pour les IC</t>
  </si>
  <si>
    <t>IC</t>
  </si>
  <si>
    <t>ATAM</t>
  </si>
  <si>
    <t>Nb d'année dans le poste actuel</t>
  </si>
  <si>
    <t>Notes obtenue</t>
  </si>
  <si>
    <t>Date</t>
  </si>
  <si>
    <t>Moyenne</t>
  </si>
  <si>
    <t>OATAM</t>
  </si>
  <si>
    <t>Quel est votre coefficient (OATAM) ou votre classification (IC)</t>
  </si>
  <si>
    <t>maîtrise</t>
  </si>
  <si>
    <t>Rappel</t>
  </si>
  <si>
    <t>accueil</t>
  </si>
  <si>
    <t>Spécialiste</t>
  </si>
  <si>
    <t>Salaire min</t>
  </si>
  <si>
    <t>salaire max</t>
  </si>
  <si>
    <t>Salaire Moyen SEI SEF</t>
  </si>
  <si>
    <t>IC : 1</t>
  </si>
  <si>
    <t>IC : 2</t>
  </si>
  <si>
    <t>IC : 3A</t>
  </si>
  <si>
    <t>IC : 3B</t>
  </si>
  <si>
    <t>IC : 3C</t>
  </si>
  <si>
    <t>OATAM : quel est votre groupe de poste</t>
  </si>
  <si>
    <t>IC : quel est votre grade</t>
  </si>
  <si>
    <t>Coefficient de maîtrise pour votre grade</t>
  </si>
  <si>
    <t>Case à remplir</t>
  </si>
  <si>
    <t>Case calculée</t>
  </si>
  <si>
    <t>Indiquez votre Salaire Mensuel de Base Brut (SMB) €/mois</t>
  </si>
  <si>
    <t>Ajoutez votre éventuel Taux de Bonus cible (%)</t>
  </si>
  <si>
    <t>Sans les primes fixes ou d'ancienneté</t>
  </si>
  <si>
    <t>==&gt; Votre salaire annuel brut Bonus compris (SAB) - k€/an</t>
  </si>
  <si>
    <t>k€/an</t>
  </si>
  <si>
    <t>Ecart salarial dans le poste par rapport au Salaire Médian du Marché</t>
  </si>
  <si>
    <t>Ecart salarial dans le poste par rapport au Salaire Moyen du Marché</t>
  </si>
  <si>
    <t xml:space="preserve">Le salaire médian du marché </t>
  </si>
  <si>
    <t>Le  salaire moyen SEI/SEF pour votre cotation de poste</t>
  </si>
  <si>
    <t>Ouvriers</t>
  </si>
  <si>
    <t>Comparaison avec le salaire moyen de Schneider à une qualification donnée</t>
  </si>
  <si>
    <t>Ecart de votre salaire avec le salaire moyen chez =S= pour votre qualification</t>
  </si>
  <si>
    <t>Le cas échéant Bonus Moyen</t>
  </si>
  <si>
    <t>Salaire mensuel moyen Schneider de votre qualification</t>
  </si>
  <si>
    <t>Salaire annuel moyen Schneider pour votre qualification</t>
  </si>
  <si>
    <t>Compa ratio</t>
  </si>
  <si>
    <t>Evaluation</t>
  </si>
  <si>
    <t>Très performant</t>
  </si>
  <si>
    <t>Performant</t>
  </si>
  <si>
    <t>Compétent</t>
  </si>
  <si>
    <t>Non Performant</t>
  </si>
  <si>
    <t>CFTC Schneider Electric</t>
  </si>
  <si>
    <r>
      <t xml:space="preserve"> </t>
    </r>
    <r>
      <rPr>
        <sz val="2"/>
        <color rgb="FF000000"/>
        <rFont val="Calibri"/>
        <family val="2"/>
      </rPr>
      <t xml:space="preserve">     </t>
    </r>
  </si>
  <si>
    <t xml:space="preserve">A = </t>
  </si>
  <si>
    <t xml:space="preserve">G = </t>
  </si>
  <si>
    <t xml:space="preserve">M : </t>
  </si>
  <si>
    <t xml:space="preserve">C/P = </t>
  </si>
  <si>
    <t xml:space="preserve">SMB = </t>
  </si>
  <si>
    <t xml:space="preserve">SAB = </t>
  </si>
  <si>
    <t xml:space="preserve">TBC = </t>
  </si>
  <si>
    <t xml:space="preserve">SMM = </t>
  </si>
  <si>
    <t xml:space="preserve"> SM SEI-SEF = </t>
  </si>
  <si>
    <t xml:space="preserve">            TBM = </t>
  </si>
  <si>
    <t xml:space="preserve">ESS = +/- </t>
  </si>
  <si>
    <t xml:space="preserve">ESB = +/- </t>
  </si>
  <si>
    <t xml:space="preserve">EBC = +/- </t>
  </si>
  <si>
    <t xml:space="preserve">ETS = +/- </t>
  </si>
  <si>
    <t>€</t>
  </si>
  <si>
    <t>Gp poste/grade</t>
  </si>
  <si>
    <t>salaire moyen de Schneider à une qualification donnée</t>
  </si>
  <si>
    <t>K€</t>
  </si>
  <si>
    <t>Rappel 2016 (nov2015)</t>
  </si>
  <si>
    <t>nb de personnes</t>
  </si>
  <si>
    <t>STIP</t>
  </si>
  <si>
    <t>FSN</t>
  </si>
  <si>
    <t xml:space="preserve">EP = </t>
  </si>
  <si>
    <t>Salaire Médian marché</t>
  </si>
  <si>
    <t>Archives</t>
  </si>
  <si>
    <t>Fin 2017</t>
  </si>
  <si>
    <t>Rappel 2017(nov 2016)</t>
  </si>
  <si>
    <t>Nb de personnes</t>
  </si>
  <si>
    <t>Salaire Moyen SEI SEF estimé(1,9%d'augmentation)</t>
  </si>
  <si>
    <t>A modifier tous les ans - cases jaunes</t>
  </si>
  <si>
    <t xml:space="preserve">Salaire médian du marché, en italique </t>
  </si>
  <si>
    <t>IAB2</t>
  </si>
  <si>
    <t>Jobmètre 2021 : Juillet 2021</t>
  </si>
  <si>
    <t>Plus de données depuis 2021</t>
  </si>
  <si>
    <t>Summary sheet to check your salary status based on your effective value</t>
  </si>
  <si>
    <t xml:space="preserve">Manual               :             fill in the box in yellow, </t>
  </si>
  <si>
    <t>* IC = Engineers and Managers</t>
  </si>
  <si>
    <t>you'll get the results in the blue boxes below.</t>
  </si>
  <si>
    <t>The summary tab to print (blue) allows you to have a clean version to present to your manager</t>
  </si>
  <si>
    <t>To fill</t>
  </si>
  <si>
    <t>calculation</t>
  </si>
  <si>
    <t>FAMILY NAME</t>
  </si>
  <si>
    <t>GIVEN NAME</t>
  </si>
  <si>
    <t xml:space="preserve">Job Title and/or job code of job held :  </t>
  </si>
  <si>
    <t>Data to fill in</t>
  </si>
  <si>
    <t>Socio-Professional Category             (Worker, ATAM or IC*)</t>
  </si>
  <si>
    <t>Job Grading : Group for OATAM or Grad for IC*</t>
  </si>
  <si>
    <t>Number of years spent in the current job</t>
  </si>
  <si>
    <t>What is your qualification (coefficient for OATAM or position for IC*)</t>
  </si>
  <si>
    <t>Enter your Gross Basic Monthly Pay (SMB) €/month</t>
  </si>
  <si>
    <t>Excluding fixed or seniority bonuses</t>
  </si>
  <si>
    <t>For IC* and for some ATAM, add your potential STIP or SIP targeted (%)</t>
  </si>
  <si>
    <t>Worker</t>
  </si>
  <si>
    <t>Performer</t>
  </si>
  <si>
    <t>Competent</t>
  </si>
  <si>
    <t>Low Performer</t>
  </si>
  <si>
    <t>High Performer</t>
  </si>
  <si>
    <t>Your Proficiency Level</t>
  </si>
  <si>
    <t>Masters qualification for your job group or grad</t>
  </si>
  <si>
    <t>==&gt; Your Gross Annual Pay, including STIP or SIP (SAB) - k€/year</t>
  </si>
  <si>
    <t>Compare your pay with the market price for the job (proficiency pay)</t>
  </si>
  <si>
    <t>Median Market Pay for your job in accordance with its grading</t>
  </si>
  <si>
    <t>Pay Difference in the Job ESP</t>
  </si>
  <si>
    <t>Your Compa ratio (Ratio between your Gross Pay and the Market Pay)</t>
  </si>
  <si>
    <r>
      <t xml:space="preserve">Average </t>
    </r>
    <r>
      <rPr>
        <b/>
        <sz val="12"/>
        <color theme="1"/>
        <rFont val="Calibri"/>
        <family val="2"/>
        <scheme val="minor"/>
      </rPr>
      <t>Monthly</t>
    </r>
    <r>
      <rPr>
        <sz val="12"/>
        <color theme="1"/>
        <rFont val="Calibri"/>
        <family val="2"/>
        <scheme val="minor"/>
      </rPr>
      <t xml:space="preserve"> Pay of SEI-SEF employees with the same qualification</t>
    </r>
  </si>
  <si>
    <t>If applicable, Average Target STIP / SIP</t>
  </si>
  <si>
    <r>
      <t xml:space="preserve">Average </t>
    </r>
    <r>
      <rPr>
        <b/>
        <sz val="12"/>
        <color theme="1"/>
        <rFont val="Calibri"/>
        <family val="2"/>
        <scheme val="minor"/>
      </rPr>
      <t>Yearly</t>
    </r>
    <r>
      <rPr>
        <sz val="12"/>
        <color theme="1"/>
        <rFont val="Calibri"/>
        <family val="2"/>
        <scheme val="minor"/>
      </rPr>
      <t xml:space="preserve"> Pay of SEI-SEF employees with the same qualification</t>
    </r>
  </si>
  <si>
    <t>Pay difference between your Pay and the average Pay with same qualification</t>
  </si>
  <si>
    <r>
      <t xml:space="preserve">Comparison with the average SEI-SEF salary for a given qualification </t>
    </r>
    <r>
      <rPr>
        <sz val="12"/>
        <color theme="1"/>
        <rFont val="Calibri"/>
        <family val="2"/>
        <scheme val="minor"/>
      </rPr>
      <t>(coefficient or position)</t>
    </r>
  </si>
  <si>
    <t>k€/year</t>
  </si>
  <si>
    <t>A compa ratio close to 1 means that your Pay is close to the Market Pay</t>
  </si>
  <si>
    <t xml:space="preserve">FIRST NAME :  </t>
  </si>
  <si>
    <t xml:space="preserve">Job title and / or job code of job held :  </t>
  </si>
  <si>
    <r>
      <t xml:space="preserve">Job Grading </t>
    </r>
    <r>
      <rPr>
        <sz val="12"/>
        <color rgb="FF000000"/>
        <rFont val="Calibri"/>
        <family val="2"/>
      </rPr>
      <t xml:space="preserve">(OATAM : group from 6 to 18, I&amp;C* : grad de 4 to 10) </t>
    </r>
    <r>
      <rPr>
        <b/>
        <sz val="12"/>
        <color rgb="FF000000"/>
        <rFont val="Calibri"/>
        <family val="2"/>
      </rPr>
      <t xml:space="preserve">: </t>
    </r>
  </si>
  <si>
    <t>Number of years of experience in the current job :</t>
  </si>
  <si>
    <t>Performance Evaluation received at the last annual review :</t>
  </si>
  <si>
    <t>LAST NAME</t>
  </si>
  <si>
    <t>years</t>
  </si>
  <si>
    <r>
      <t xml:space="preserve">Determining the level of proficiency in a job is based on 2 key elements : </t>
    </r>
    <r>
      <rPr>
        <b/>
        <i/>
        <sz val="10"/>
        <color rgb="FF000000"/>
        <rFont val="Calibri"/>
        <family val="2"/>
      </rPr>
      <t>experience</t>
    </r>
    <r>
      <rPr>
        <i/>
        <sz val="10"/>
        <color rgb="FF000000"/>
        <rFont val="Calibri"/>
        <family val="2"/>
      </rPr>
      <t xml:space="preserve"> in the job </t>
    </r>
    <r>
      <rPr>
        <b/>
        <i/>
        <sz val="10"/>
        <color rgb="FF000000"/>
        <rFont val="Calibri"/>
        <family val="2"/>
      </rPr>
      <t>AND achievement a generally positive evaluatio</t>
    </r>
    <r>
      <rPr>
        <i/>
        <sz val="10"/>
        <color rgb="FF000000"/>
        <rFont val="Calibri"/>
        <family val="2"/>
      </rPr>
      <t>n (high performer, performer or competent or score &gt; 3/5</t>
    </r>
    <r>
      <rPr>
        <b/>
        <i/>
        <sz val="10"/>
        <color rgb="FF000000"/>
        <rFont val="Calibri"/>
        <family val="2"/>
      </rPr>
      <t>)</t>
    </r>
    <r>
      <rPr>
        <i/>
        <sz val="10"/>
        <color rgb="FF000000"/>
        <rFont val="Calibri"/>
        <family val="2"/>
      </rPr>
      <t xml:space="preserve"> over the period for which you have been in the job, proving de facto that </t>
    </r>
    <r>
      <rPr>
        <b/>
        <i/>
        <sz val="10"/>
        <color rgb="FF000000"/>
        <rFont val="Calibri"/>
        <family val="2"/>
      </rPr>
      <t>the business recognises that you are doing the job well.</t>
    </r>
    <r>
      <rPr>
        <i/>
        <sz val="10"/>
        <color rgb="FF000000"/>
        <rFont val="Calibri"/>
        <family val="2"/>
      </rPr>
      <t xml:space="preserve"> N.B. : having obtained an "under performer" evaluation or a score of 2/5, as a one-off in the past, is not serious </t>
    </r>
    <r>
      <rPr>
        <b/>
        <i/>
        <sz val="10"/>
        <color rgb="FF000000"/>
        <rFont val="Calibri"/>
        <family val="2"/>
      </rPr>
      <t xml:space="preserve">if the most recent evaluations are positives. </t>
    </r>
  </si>
  <si>
    <t>Measurement guidance:</t>
  </si>
  <si>
    <r>
      <t xml:space="preserve">0 to 2 years whatever the performance (other than exceptional </t>
    </r>
    <r>
      <rPr>
        <i/>
        <sz val="10"/>
        <color rgb="FF000000"/>
        <rFont val="Calibri"/>
        <family val="2"/>
      </rPr>
      <t xml:space="preserve">performance)  = induction = </t>
    </r>
    <r>
      <rPr>
        <b/>
        <i/>
        <sz val="10"/>
        <color rgb="FF000000"/>
        <rFont val="Calibri"/>
        <family val="2"/>
      </rPr>
      <t>novice</t>
    </r>
    <r>
      <rPr>
        <i/>
        <sz val="10"/>
        <color rgb="FF000000"/>
        <rFont val="Calibri"/>
        <family val="2"/>
      </rPr>
      <t xml:space="preserve">, acquiring skills, </t>
    </r>
  </si>
  <si>
    <r>
      <t>3 to 5 years' experience with positive evaluation : proficiency</t>
    </r>
    <r>
      <rPr>
        <i/>
        <sz val="10"/>
        <color rgb="FF000000"/>
        <rFont val="Calibri"/>
        <family val="2"/>
      </rPr>
      <t>. N.B. : by « proficiency », the companyalso means "autonomy".</t>
    </r>
  </si>
  <si>
    <r>
      <t xml:space="preserve">5 to 10 years' experience with positive evaluation : specialist = </t>
    </r>
    <r>
      <rPr>
        <i/>
        <sz val="10"/>
        <color rgb="FF000000"/>
        <rFont val="Calibri"/>
        <family val="2"/>
      </rPr>
      <t xml:space="preserve">expert. To validate recognition as an expert, it is advisable </t>
    </r>
    <r>
      <rPr>
        <b/>
        <i/>
        <sz val="10"/>
        <color rgb="FF000000"/>
        <rFont val="Calibri"/>
        <family val="2"/>
      </rPr>
      <t>to apply to join the Schneider "Edison"</t>
    </r>
    <r>
      <rPr>
        <i/>
        <sz val="10"/>
        <color rgb="FF000000"/>
        <rFont val="Calibri"/>
        <family val="2"/>
      </rPr>
      <t xml:space="preserve"> program which every year officially identifies new experts.</t>
    </r>
  </si>
  <si>
    <r>
      <t xml:space="preserve">Current qualification </t>
    </r>
    <r>
      <rPr>
        <sz val="12"/>
        <color rgb="FF000000"/>
        <rFont val="Calibri"/>
        <family val="2"/>
      </rPr>
      <t xml:space="preserve">(coefficient or position) </t>
    </r>
    <r>
      <rPr>
        <b/>
        <sz val="12"/>
        <color rgb="FF000000"/>
        <rFont val="Calibri"/>
        <family val="2"/>
      </rPr>
      <t xml:space="preserve">: </t>
    </r>
  </si>
  <si>
    <r>
      <t xml:space="preserve">Qualification corresponding to the estimated current level at which you do your job </t>
    </r>
    <r>
      <rPr>
        <sz val="12"/>
        <color rgb="FF000000"/>
        <rFont val="Calibri"/>
        <family val="2"/>
      </rPr>
      <t>(see §2)</t>
    </r>
    <r>
      <rPr>
        <b/>
        <sz val="12"/>
        <color rgb="FF000000"/>
        <rFont val="Calibri"/>
        <family val="2"/>
      </rPr>
      <t xml:space="preserve"> :  </t>
    </r>
    <r>
      <rPr>
        <sz val="12"/>
        <color rgb="FF000000"/>
        <rFont val="Calibri"/>
        <family val="2"/>
      </rPr>
      <t xml:space="preserve">                </t>
    </r>
  </si>
  <si>
    <r>
      <t xml:space="preserve">=&gt; Qualification difference to be corrected (= Promotion) : </t>
    </r>
    <r>
      <rPr>
        <sz val="12"/>
        <color rgb="FF000000"/>
        <rFont val="Calibri"/>
        <family val="2"/>
      </rPr>
      <t xml:space="preserve">check yes/no) </t>
    </r>
    <r>
      <rPr>
        <b/>
        <sz val="12"/>
        <color rgb="FF000000"/>
        <rFont val="Calibri"/>
        <family val="2"/>
      </rPr>
      <t>:</t>
    </r>
  </si>
  <si>
    <t>Negociate a promotion, for a qualification consistent with your performance in your job :</t>
  </si>
  <si>
    <t>Negociate a pay rise, for a remuneration in step with that of the market :</t>
  </si>
  <si>
    <t>€/month</t>
  </si>
  <si>
    <t xml:space="preserve">NO : </t>
  </si>
  <si>
    <t xml:space="preserve">YES : </t>
  </si>
  <si>
    <r>
      <t xml:space="preserve">Gross Basic Monthly Pay </t>
    </r>
    <r>
      <rPr>
        <sz val="12"/>
        <color rgb="FF000000"/>
        <rFont val="Calibri"/>
        <family val="2"/>
      </rPr>
      <t>(excluding fixed or seniority bonuses)</t>
    </r>
  </si>
  <si>
    <r>
      <t xml:space="preserve">Target STIP / SIP Bonus Rate </t>
    </r>
    <r>
      <rPr>
        <sz val="12"/>
        <color rgb="FF000000"/>
        <rFont val="Calibri"/>
        <family val="2"/>
      </rPr>
      <t>(Sales force, I&amp;C*)</t>
    </r>
    <r>
      <rPr>
        <b/>
        <sz val="12"/>
        <color rgb="FF000000"/>
        <rFont val="Calibri"/>
        <family val="2"/>
      </rPr>
      <t xml:space="preserve"> : </t>
    </r>
  </si>
  <si>
    <r>
      <t xml:space="preserve">=&gt; Gross Annual Pay including target STIP or SIP </t>
    </r>
    <r>
      <rPr>
        <sz val="12"/>
        <color rgb="FF000000"/>
        <rFont val="Calibri"/>
        <family val="2"/>
      </rPr>
      <t>(excluding fixed or seniority bonuses)</t>
    </r>
    <r>
      <rPr>
        <b/>
        <sz val="12"/>
        <color rgb="FF000000"/>
        <rFont val="Calibri"/>
        <family val="2"/>
      </rPr>
      <t> :</t>
    </r>
  </si>
  <si>
    <t>[OATAM : SMB (€) x 12/1000    Sales forces and I&amp;C* : SMB (€) x 12 x (1+TBC/100) /1000]</t>
  </si>
  <si>
    <r>
      <t xml:space="preserve">Median Market Pay for the job in accordance with its grading </t>
    </r>
    <r>
      <rPr>
        <sz val="12"/>
        <color rgb="FF000000"/>
        <rFont val="Calibri"/>
        <family val="2"/>
      </rPr>
      <t>(see pay spaces § 3)</t>
    </r>
    <r>
      <rPr>
        <b/>
        <sz val="12"/>
        <color rgb="FF000000"/>
        <rFont val="Calibri"/>
        <family val="2"/>
      </rPr>
      <t xml:space="preserve"> :  </t>
    </r>
  </si>
  <si>
    <r>
      <t>=&gt; Pay difference for the job, ESP</t>
    </r>
    <r>
      <rPr>
        <sz val="12"/>
        <color rgb="FF000000"/>
        <rFont val="Calibri"/>
        <family val="2"/>
      </rPr>
      <t xml:space="preserve"> = SAB - SMM </t>
    </r>
    <r>
      <rPr>
        <b/>
        <sz val="12"/>
        <color rgb="FF000000"/>
        <rFont val="Calibri"/>
        <family val="2"/>
      </rPr>
      <t>:      +/-</t>
    </r>
    <r>
      <rPr>
        <sz val="12"/>
        <color rgb="FF000000"/>
        <rFont val="Calibri"/>
        <family val="2"/>
      </rPr>
      <t xml:space="preserve"> </t>
    </r>
  </si>
  <si>
    <r>
      <t xml:space="preserve">=&gt; Difference to be corrected </t>
    </r>
    <r>
      <rPr>
        <sz val="12"/>
        <color rgb="FF000000"/>
        <rFont val="Calibri"/>
        <family val="2"/>
      </rPr>
      <t xml:space="preserve">(according to your current level, check yes / no) </t>
    </r>
    <r>
      <rPr>
        <b/>
        <sz val="12"/>
        <color rgb="FF000000"/>
        <rFont val="Calibri"/>
        <family val="2"/>
      </rPr>
      <t>:</t>
    </r>
  </si>
  <si>
    <r>
      <t xml:space="preserve">k€, i.e. as a percentage, </t>
    </r>
    <r>
      <rPr>
        <sz val="12"/>
        <color theme="1"/>
        <rFont val="Calibri"/>
        <family val="2"/>
        <scheme val="minor"/>
      </rPr>
      <t xml:space="preserve">ESPx100/SMM = </t>
    </r>
    <r>
      <rPr>
        <b/>
        <sz val="12"/>
        <color theme="1"/>
        <rFont val="Calibri"/>
        <family val="2"/>
        <scheme val="minor"/>
      </rPr>
      <t xml:space="preserve">    +/-</t>
    </r>
  </si>
  <si>
    <t xml:space="preserve"> €/month     </t>
  </si>
  <si>
    <t>Enter the figure for your pay lag to obtain a catch-up pay rise relative to the average for SEI-SEF employees :</t>
  </si>
  <si>
    <r>
      <t xml:space="preserve">Average Pay of employees with the same coefficient or position </t>
    </r>
    <r>
      <rPr>
        <sz val="12"/>
        <color rgb="FF000000"/>
        <rFont val="Calibri"/>
        <family val="2"/>
      </rPr>
      <t>(see tables § 4)</t>
    </r>
  </si>
  <si>
    <r>
      <t xml:space="preserve">Average Target STIP/SIP, sales force or IC* for the same position </t>
    </r>
    <r>
      <rPr>
        <sz val="12"/>
        <color rgb="FF000000"/>
        <rFont val="Calibri"/>
        <family val="2"/>
      </rPr>
      <t>(see tables § 4) :</t>
    </r>
  </si>
  <si>
    <r>
      <t xml:space="preserve">=&gt; Your Target STIP or SIP Difference as a % </t>
    </r>
    <r>
      <rPr>
        <sz val="12"/>
        <color rgb="FF000000"/>
        <rFont val="Calibri"/>
        <family val="2"/>
      </rPr>
      <t xml:space="preserve">(TBC - TBM sales force or IC* for the same position) </t>
    </r>
    <r>
      <rPr>
        <b/>
        <sz val="12"/>
        <color rgb="FF000000"/>
        <rFont val="Calibri"/>
        <family val="2"/>
      </rPr>
      <t xml:space="preserve">: </t>
    </r>
  </si>
  <si>
    <r>
      <t xml:space="preserve">=&gt; Your Total Target Pay Difference as a %  with sales force or </t>
    </r>
    <r>
      <rPr>
        <sz val="12"/>
        <color rgb="FF000000"/>
        <rFont val="Calibri"/>
        <family val="2"/>
      </rPr>
      <t>IC* for the same position :</t>
    </r>
  </si>
  <si>
    <t>Gross Basic Monthly Pay</t>
  </si>
  <si>
    <t>(Excluding fixed or seniority bonuses)</t>
  </si>
  <si>
    <t>(excluding bonuses)</t>
  </si>
  <si>
    <t>Rate Target STIP / SIP (I&amp;C)</t>
  </si>
  <si>
    <r>
      <t xml:space="preserve">=&gt; Your Pay Difference from Employees in € </t>
    </r>
    <r>
      <rPr>
        <sz val="12"/>
        <color rgb="FF000000"/>
        <rFont val="Calibri"/>
        <family val="2"/>
      </rPr>
      <t xml:space="preserve">(SMB – SM SEI-SEF with the same coef. or position): </t>
    </r>
  </si>
  <si>
    <r>
      <t xml:space="preserve">=&gt; Your Basic Pay Difference as a % </t>
    </r>
    <r>
      <rPr>
        <sz val="12"/>
        <color rgb="FF000000"/>
        <rFont val="Calibri"/>
        <family val="2"/>
      </rPr>
      <t xml:space="preserve">(ESS x 100 / SM SEI-SEF with the same coef. or position) </t>
    </r>
    <r>
      <rPr>
        <b/>
        <sz val="12"/>
        <color rgb="FF000000"/>
        <rFont val="Calibri"/>
        <family val="2"/>
      </rPr>
      <t>:</t>
    </r>
  </si>
  <si>
    <t>At your side throughout your carreer</t>
  </si>
  <si>
    <t>Median Pay from July 2022</t>
  </si>
  <si>
    <t>JULLIENS</t>
  </si>
  <si>
    <t>ALBERT</t>
  </si>
  <si>
    <t>Evaluation 2021 :</t>
  </si>
  <si>
    <t>CFTC July 2022</t>
  </si>
  <si>
    <r>
      <t>=&gt; Estimation of the job proficiency level </t>
    </r>
    <r>
      <rPr>
        <sz val="12"/>
        <color rgb="FF0F3F93"/>
        <rFont val="Calibri"/>
        <family val="2"/>
      </rPr>
      <t>(« novice », « proficiency », « expertise »)</t>
    </r>
    <r>
      <rPr>
        <b/>
        <sz val="12"/>
        <color rgb="FF0F3F93"/>
        <rFont val="Calibri"/>
        <family val="2"/>
      </rPr>
      <t xml:space="preserve">                                                     </t>
    </r>
  </si>
  <si>
    <t>below 1 you are below the market value</t>
  </si>
  <si>
    <r>
      <rPr>
        <b/>
        <sz val="18"/>
        <color rgb="FF0F3F93"/>
        <rFont val="Calibri"/>
        <family val="2"/>
      </rPr>
      <t>Compa-Ratio CR</t>
    </r>
    <r>
      <rPr>
        <b/>
        <sz val="12"/>
        <color rgb="FF000000"/>
        <rFont val="Calibri"/>
        <family val="2"/>
      </rPr>
      <t xml:space="preserve"> </t>
    </r>
    <r>
      <rPr>
        <sz val="12"/>
        <color rgb="FF000000"/>
        <rFont val="Calibri"/>
        <family val="2"/>
      </rPr>
      <t>= SAB/SMM, is the most important criteria for HR and management</t>
    </r>
  </si>
  <si>
    <t>SEI-SEF - July 2022 - Pay data</t>
  </si>
  <si>
    <t>SEI-SEF -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</si>
</sst>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_-* #,##0\ _€_-;\-* #,##0\ _€_-;_-* &quot;-&quot;??\ _€_-;_-@_-"/>
  </numFmts>
  <fonts count="51" x14ac:knownFonts="1">
    <font>
      <sz val="11"/>
      <color theme="1"/>
      <name val="Calibri"/>
      <family val="2"/>
      <scheme val="minor"/>
    </font>
    <font>
      <sz val="11"/>
      <color theme="1"/>
      <name val="Calibri"/>
      <family val="2"/>
      <scheme val="minor"/>
    </font>
    <font>
      <b/>
      <sz val="11"/>
      <color theme="1"/>
      <name val="Calibri"/>
      <family val="2"/>
      <scheme val="minor"/>
    </font>
    <font>
      <b/>
      <sz val="12"/>
      <color rgb="FF0000CC"/>
      <name val="Calibri"/>
      <family val="2"/>
      <scheme val="minor"/>
    </font>
    <font>
      <sz val="12"/>
      <color theme="1"/>
      <name val="Calibri"/>
      <family val="2"/>
      <scheme val="minor"/>
    </font>
    <font>
      <sz val="12"/>
      <color theme="1"/>
      <name val="Arial"/>
      <family val="2"/>
    </font>
    <font>
      <b/>
      <sz val="16"/>
      <color rgb="FF0000FF"/>
      <name val="Calibri"/>
      <family val="2"/>
    </font>
    <font>
      <sz val="14"/>
      <color theme="1"/>
      <name val="Arial"/>
      <family val="2"/>
    </font>
    <font>
      <b/>
      <sz val="12"/>
      <color rgb="FF000000"/>
      <name val="Calibri"/>
      <family val="2"/>
    </font>
    <font>
      <sz val="12"/>
      <color rgb="FF000000"/>
      <name val="Calibri"/>
      <family val="2"/>
    </font>
    <font>
      <b/>
      <sz val="2"/>
      <color rgb="FF000000"/>
      <name val="Calibri"/>
      <family val="2"/>
    </font>
    <font>
      <i/>
      <sz val="10"/>
      <color rgb="FF000000"/>
      <name val="Calibri"/>
      <family val="2"/>
    </font>
    <font>
      <b/>
      <i/>
      <sz val="10"/>
      <color rgb="FF000000"/>
      <name val="Calibri"/>
      <family val="2"/>
    </font>
    <font>
      <sz val="8"/>
      <color rgb="FF000000"/>
      <name val="Calibri"/>
      <family val="2"/>
    </font>
    <font>
      <b/>
      <sz val="4"/>
      <color rgb="FF000000"/>
      <name val="Calibri"/>
      <family val="2"/>
    </font>
    <font>
      <sz val="4"/>
      <color rgb="FF000000"/>
      <name val="Calibri"/>
      <family val="2"/>
    </font>
    <font>
      <sz val="6"/>
      <color rgb="FF000000"/>
      <name val="Calibri"/>
      <family val="2"/>
    </font>
    <font>
      <sz val="2"/>
      <color rgb="FF000000"/>
      <name val="Calibri"/>
      <family val="2"/>
    </font>
    <font>
      <b/>
      <sz val="12"/>
      <color theme="1"/>
      <name val="Calibri"/>
      <family val="2"/>
      <scheme val="minor"/>
    </font>
    <font>
      <sz val="12"/>
      <color rgb="FF0000CC"/>
      <name val="Calibri"/>
      <family val="2"/>
      <scheme val="minor"/>
    </font>
    <font>
      <b/>
      <sz val="12"/>
      <color rgb="FFFF0000"/>
      <name val="Calibri"/>
      <family val="2"/>
      <scheme val="minor"/>
    </font>
    <font>
      <sz val="12"/>
      <color theme="0"/>
      <name val="Calibri"/>
      <family val="2"/>
      <scheme val="minor"/>
    </font>
    <font>
      <i/>
      <sz val="12"/>
      <color theme="1"/>
      <name val="Calibri"/>
      <family val="2"/>
      <scheme val="minor"/>
    </font>
    <font>
      <b/>
      <sz val="14"/>
      <color theme="1"/>
      <name val="Arial"/>
      <family val="2"/>
    </font>
    <font>
      <sz val="10"/>
      <name val="Arial"/>
      <family val="2"/>
    </font>
    <font>
      <sz val="10"/>
      <name val="MS Sans Serif"/>
    </font>
    <font>
      <b/>
      <sz val="10"/>
      <name val="Calibri"/>
      <family val="2"/>
    </font>
    <font>
      <sz val="10"/>
      <name val="Calibri"/>
      <family val="2"/>
    </font>
    <font>
      <b/>
      <sz val="14"/>
      <color theme="1"/>
      <name val="Calibri"/>
      <family val="2"/>
      <scheme val="minor"/>
    </font>
    <font>
      <b/>
      <sz val="20"/>
      <color rgb="FF1D71B8"/>
      <name val="Calibri"/>
      <family val="2"/>
      <scheme val="minor"/>
    </font>
    <font>
      <b/>
      <i/>
      <sz val="14"/>
      <color rgb="FF0070C0"/>
      <name val="Calibri"/>
      <family val="2"/>
      <scheme val="minor"/>
    </font>
    <font>
      <b/>
      <i/>
      <sz val="12"/>
      <color rgb="FF0070C0"/>
      <name val="Calibri"/>
      <family val="2"/>
      <scheme val="minor"/>
    </font>
    <font>
      <b/>
      <sz val="11"/>
      <color theme="0"/>
      <name val="Calibri"/>
      <family val="2"/>
      <scheme val="minor"/>
    </font>
    <font>
      <sz val="11"/>
      <color theme="0"/>
      <name val="Calibri"/>
      <family val="2"/>
      <scheme val="minor"/>
    </font>
    <font>
      <strike/>
      <sz val="11"/>
      <color theme="0"/>
      <name val="Calibri"/>
      <family val="2"/>
      <scheme val="minor"/>
    </font>
    <font>
      <i/>
      <sz val="11"/>
      <color theme="0"/>
      <name val="Calibri"/>
      <family val="2"/>
      <scheme val="minor"/>
    </font>
    <font>
      <sz val="11"/>
      <color theme="0"/>
      <name val="Calibri"/>
      <family val="2"/>
    </font>
    <font>
      <sz val="11"/>
      <color theme="0"/>
      <name val="Arial"/>
      <family val="2"/>
    </font>
    <font>
      <b/>
      <sz val="10"/>
      <color theme="0"/>
      <name val="Calibri"/>
      <family val="2"/>
    </font>
    <font>
      <b/>
      <sz val="11"/>
      <color rgb="FF000000"/>
      <name val="Calibri"/>
      <family val="2"/>
    </font>
    <font>
      <i/>
      <sz val="10"/>
      <color rgb="FFFF0000"/>
      <name val="Calibri"/>
      <family val="2"/>
    </font>
    <font>
      <sz val="11"/>
      <color rgb="FF0F3F93"/>
      <name val="Calibri"/>
      <family val="2"/>
      <scheme val="minor"/>
    </font>
    <font>
      <b/>
      <sz val="14"/>
      <color rgb="FF0F3F93"/>
      <name val="Calibri"/>
      <family val="2"/>
      <scheme val="minor"/>
    </font>
    <font>
      <b/>
      <sz val="16"/>
      <color rgb="FF0F3F93"/>
      <name val="Calibri"/>
      <family val="2"/>
    </font>
    <font>
      <b/>
      <sz val="12"/>
      <color rgb="FF0F3F93"/>
      <name val="Calibri"/>
      <family val="2"/>
      <scheme val="minor"/>
    </font>
    <font>
      <b/>
      <sz val="12"/>
      <color rgb="FF0F3F93"/>
      <name val="Calibri"/>
      <family val="2"/>
    </font>
    <font>
      <sz val="12"/>
      <color rgb="FF0F3F93"/>
      <name val="Calibri"/>
      <family val="2"/>
    </font>
    <font>
      <b/>
      <i/>
      <sz val="14"/>
      <color rgb="FF0F3F93"/>
      <name val="Calibri"/>
      <family val="2"/>
    </font>
    <font>
      <b/>
      <i/>
      <sz val="12"/>
      <color rgb="FF0F3F93"/>
      <name val="Calibri"/>
      <family val="2"/>
      <scheme val="minor"/>
    </font>
    <font>
      <b/>
      <sz val="18"/>
      <color rgb="FF0F3F93"/>
      <name val="Calibri"/>
      <family val="2"/>
    </font>
    <font>
      <b/>
      <sz val="16"/>
      <color rgb="FF0F3F93"/>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22"/>
      </left>
      <right style="thin">
        <color indexed="22"/>
      </right>
      <top style="medium">
        <color indexed="64"/>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164" fontId="1" fillId="0" borderId="0" applyFont="0" applyFill="0" applyBorder="0" applyAlignment="0" applyProtection="0"/>
    <xf numFmtId="0" fontId="24" fillId="0" borderId="0"/>
    <xf numFmtId="0" fontId="25" fillId="0" borderId="0"/>
  </cellStyleXfs>
  <cellXfs count="177">
    <xf numFmtId="0" fontId="0" fillId="0" borderId="0" xfId="0"/>
    <xf numFmtId="0" fontId="3" fillId="0" borderId="0" xfId="0" applyFont="1"/>
    <xf numFmtId="0" fontId="4" fillId="0" borderId="0" xfId="0" applyFont="1" applyBorder="1"/>
    <xf numFmtId="0" fontId="0" fillId="0" borderId="0" xfId="0" applyAlignment="1">
      <alignment horizontal="left"/>
    </xf>
    <xf numFmtId="0" fontId="5" fillId="0" borderId="0" xfId="0" applyFont="1"/>
    <xf numFmtId="0" fontId="7" fillId="0" borderId="0" xfId="0" applyFont="1" applyAlignment="1">
      <alignment horizontal="justify"/>
    </xf>
    <xf numFmtId="0" fontId="8" fillId="0" borderId="0" xfId="0" applyFont="1"/>
    <xf numFmtId="0" fontId="10" fillId="0" borderId="0" xfId="0" applyFont="1"/>
    <xf numFmtId="0" fontId="12" fillId="0" borderId="0" xfId="0" applyFont="1"/>
    <xf numFmtId="0" fontId="13" fillId="0" borderId="0" xfId="0" applyFont="1" applyAlignment="1">
      <alignment horizontal="justify"/>
    </xf>
    <xf numFmtId="0" fontId="14" fillId="0" borderId="0" xfId="0" applyFont="1" applyAlignment="1">
      <alignment horizontal="justify"/>
    </xf>
    <xf numFmtId="0" fontId="8" fillId="0" borderId="0" xfId="0" applyFont="1" applyAlignment="1">
      <alignment horizontal="justify"/>
    </xf>
    <xf numFmtId="0" fontId="15" fillId="0" borderId="0" xfId="0" applyFont="1"/>
    <xf numFmtId="0" fontId="16" fillId="0" borderId="0" xfId="0" applyFont="1" applyAlignment="1">
      <alignment horizontal="justify"/>
    </xf>
    <xf numFmtId="0" fontId="14" fillId="0" borderId="0" xfId="0" applyFont="1"/>
    <xf numFmtId="0" fontId="8" fillId="0" borderId="0" xfId="0" applyFont="1" applyAlignment="1">
      <alignment horizontal="left"/>
    </xf>
    <xf numFmtId="0" fontId="11" fillId="0" borderId="0" xfId="0" applyFont="1" applyAlignment="1">
      <alignment horizontal="left"/>
    </xf>
    <xf numFmtId="0" fontId="2" fillId="0" borderId="0" xfId="0" applyFont="1" applyAlignment="1">
      <alignment horizontal="right"/>
    </xf>
    <xf numFmtId="0" fontId="18" fillId="0" borderId="0" xfId="0" applyFont="1" applyAlignment="1">
      <alignment horizontal="right"/>
    </xf>
    <xf numFmtId="0" fontId="4" fillId="0" borderId="0" xfId="0" applyFont="1"/>
    <xf numFmtId="0" fontId="18" fillId="0" borderId="0" xfId="0" applyFont="1"/>
    <xf numFmtId="0" fontId="18" fillId="0" borderId="0" xfId="0" quotePrefix="1" applyFont="1"/>
    <xf numFmtId="0" fontId="18" fillId="0" borderId="0" xfId="0" applyFont="1" applyAlignment="1">
      <alignment horizontal="left"/>
    </xf>
    <xf numFmtId="0" fontId="8" fillId="0" borderId="0" xfId="0" quotePrefix="1" applyFont="1"/>
    <xf numFmtId="0" fontId="18" fillId="0" borderId="0" xfId="0" applyFont="1" applyAlignment="1"/>
    <xf numFmtId="0" fontId="19" fillId="0" borderId="0" xfId="0" applyFont="1"/>
    <xf numFmtId="0" fontId="3" fillId="0" borderId="9" xfId="0" applyFont="1" applyBorder="1" applyAlignment="1">
      <alignment horizontal="center"/>
    </xf>
    <xf numFmtId="0" fontId="3" fillId="0" borderId="0" xfId="0" applyFont="1" applyBorder="1" applyAlignment="1">
      <alignment horizontal="center"/>
    </xf>
    <xf numFmtId="0" fontId="6" fillId="0" borderId="0" xfId="0" applyFont="1" applyAlignment="1"/>
    <xf numFmtId="0" fontId="4" fillId="2" borderId="0" xfId="0" applyFont="1" applyFill="1" applyProtection="1">
      <protection locked="0"/>
    </xf>
    <xf numFmtId="0" fontId="4" fillId="3" borderId="0" xfId="0" applyFont="1" applyFill="1"/>
    <xf numFmtId="0" fontId="18" fillId="0" borderId="0" xfId="0" applyFont="1" applyFill="1"/>
    <xf numFmtId="14" fontId="18" fillId="0" borderId="0" xfId="0" applyNumberFormat="1" applyFont="1" applyFill="1" applyProtection="1">
      <protection locked="0"/>
    </xf>
    <xf numFmtId="0" fontId="18" fillId="5" borderId="0" xfId="0" applyFont="1" applyFill="1"/>
    <xf numFmtId="0" fontId="4" fillId="5" borderId="0" xfId="0" applyFont="1" applyFill="1"/>
    <xf numFmtId="14" fontId="18" fillId="2" borderId="0" xfId="0" applyNumberFormat="1" applyFont="1" applyFill="1" applyProtection="1">
      <protection locked="0"/>
    </xf>
    <xf numFmtId="0" fontId="4" fillId="0" borderId="0" xfId="0" applyFont="1" applyFill="1"/>
    <xf numFmtId="0" fontId="4" fillId="2" borderId="0" xfId="0" applyFont="1" applyFill="1" applyAlignment="1" applyProtection="1">
      <alignment horizontal="right"/>
      <protection locked="0"/>
    </xf>
    <xf numFmtId="0" fontId="21" fillId="0" borderId="0" xfId="0" applyFont="1"/>
    <xf numFmtId="166" fontId="21" fillId="0" borderId="0" xfId="0" applyNumberFormat="1" applyFont="1" applyAlignment="1">
      <alignment horizontal="right"/>
    </xf>
    <xf numFmtId="0" fontId="4" fillId="0" borderId="0" xfId="0" applyFont="1" applyAlignment="1"/>
    <xf numFmtId="9" fontId="4" fillId="2" borderId="0" xfId="1" applyFont="1" applyFill="1" applyProtection="1">
      <protection locked="0"/>
    </xf>
    <xf numFmtId="1" fontId="4" fillId="3" borderId="0" xfId="0" applyNumberFormat="1" applyFont="1" applyFill="1"/>
    <xf numFmtId="166" fontId="4" fillId="3" borderId="0" xfId="0" applyNumberFormat="1" applyFont="1" applyFill="1"/>
    <xf numFmtId="0" fontId="18" fillId="3" borderId="0" xfId="0" applyFont="1" applyFill="1"/>
    <xf numFmtId="0" fontId="4" fillId="3" borderId="0" xfId="0" applyFont="1" applyFill="1" applyAlignment="1">
      <alignment horizontal="right"/>
    </xf>
    <xf numFmtId="0" fontId="18" fillId="5" borderId="1" xfId="0" applyFont="1" applyFill="1" applyBorder="1"/>
    <xf numFmtId="0" fontId="4" fillId="5" borderId="2" xfId="0" applyFont="1" applyFill="1" applyBorder="1"/>
    <xf numFmtId="0" fontId="4" fillId="5" borderId="3" xfId="0" applyFont="1" applyFill="1" applyBorder="1"/>
    <xf numFmtId="0" fontId="4" fillId="0" borderId="4" xfId="0" applyFont="1" applyBorder="1"/>
    <xf numFmtId="0" fontId="4" fillId="3" borderId="0" xfId="0" applyFont="1" applyFill="1" applyBorder="1"/>
    <xf numFmtId="0" fontId="4" fillId="0" borderId="5" xfId="0" applyFont="1" applyBorder="1"/>
    <xf numFmtId="165" fontId="4" fillId="3" borderId="0" xfId="1" applyNumberFormat="1" applyFont="1" applyFill="1" applyBorder="1"/>
    <xf numFmtId="0" fontId="4" fillId="0" borderId="6" xfId="0" applyFont="1" applyBorder="1"/>
    <xf numFmtId="0" fontId="18" fillId="0" borderId="7" xfId="0" applyFont="1" applyBorder="1"/>
    <xf numFmtId="2" fontId="18" fillId="4" borderId="7" xfId="1" applyNumberFormat="1" applyFont="1" applyFill="1" applyBorder="1"/>
    <xf numFmtId="0" fontId="4" fillId="0" borderId="7" xfId="0" applyFont="1" applyBorder="1"/>
    <xf numFmtId="0" fontId="3" fillId="0" borderId="7" xfId="0" applyFont="1" applyBorder="1"/>
    <xf numFmtId="0" fontId="4" fillId="0" borderId="8" xfId="0" applyFont="1" applyBorder="1"/>
    <xf numFmtId="1" fontId="4" fillId="3" borderId="0" xfId="1" applyNumberFormat="1" applyFont="1" applyFill="1" applyBorder="1"/>
    <xf numFmtId="10" fontId="4" fillId="3" borderId="7" xfId="1" applyNumberFormat="1" applyFont="1" applyFill="1" applyBorder="1"/>
    <xf numFmtId="10" fontId="4" fillId="0" borderId="0" xfId="0" applyNumberFormat="1" applyFont="1"/>
    <xf numFmtId="166" fontId="18" fillId="3" borderId="0" xfId="0" applyNumberFormat="1" applyFont="1" applyFill="1"/>
    <xf numFmtId="0" fontId="18" fillId="2" borderId="0" xfId="0" applyNumberFormat="1" applyFont="1" applyFill="1" applyProtection="1">
      <protection locked="0"/>
    </xf>
    <xf numFmtId="0" fontId="4" fillId="0" borderId="0" xfId="0" applyFont="1" applyFill="1" applyProtection="1"/>
    <xf numFmtId="0" fontId="4" fillId="0" borderId="0" xfId="0" applyFont="1" applyProtection="1"/>
    <xf numFmtId="14" fontId="18" fillId="0" borderId="0" xfId="0" applyNumberFormat="1" applyFont="1" applyFill="1" applyProtection="1"/>
    <xf numFmtId="14" fontId="18" fillId="5" borderId="0" xfId="0" applyNumberFormat="1" applyFont="1" applyFill="1" applyProtection="1"/>
    <xf numFmtId="0" fontId="4" fillId="5" borderId="0" xfId="0" applyFont="1" applyFill="1" applyProtection="1"/>
    <xf numFmtId="0" fontId="22" fillId="0" borderId="0" xfId="0" applyFont="1"/>
    <xf numFmtId="0" fontId="0" fillId="6" borderId="0" xfId="0" applyFill="1"/>
    <xf numFmtId="0" fontId="2" fillId="6" borderId="0" xfId="0" applyFont="1" applyFill="1"/>
    <xf numFmtId="0" fontId="0" fillId="6" borderId="0" xfId="0" applyFill="1" applyBorder="1"/>
    <xf numFmtId="165" fontId="0" fillId="6" borderId="0" xfId="1" applyNumberFormat="1" applyFont="1" applyFill="1" applyBorder="1"/>
    <xf numFmtId="10" fontId="0" fillId="6" borderId="0" xfId="1" applyNumberFormat="1" applyFont="1" applyFill="1" applyBorder="1"/>
    <xf numFmtId="0" fontId="2" fillId="6" borderId="0" xfId="0" applyFont="1" applyFill="1" applyBorder="1"/>
    <xf numFmtId="167" fontId="4" fillId="3" borderId="0" xfId="2" applyNumberFormat="1" applyFont="1" applyFill="1" applyBorder="1"/>
    <xf numFmtId="0" fontId="4" fillId="7" borderId="0" xfId="0" applyFont="1" applyFill="1"/>
    <xf numFmtId="0" fontId="4" fillId="7" borderId="0" xfId="0" applyFont="1" applyFill="1" applyAlignment="1">
      <alignment horizontal="right"/>
    </xf>
    <xf numFmtId="165" fontId="26" fillId="6" borderId="0" xfId="1" applyNumberFormat="1" applyFont="1" applyFill="1" applyBorder="1" applyAlignment="1">
      <alignment horizontal="center" vertical="center"/>
    </xf>
    <xf numFmtId="3" fontId="27" fillId="6" borderId="0" xfId="3" applyNumberFormat="1" applyFont="1" applyFill="1" applyBorder="1"/>
    <xf numFmtId="0" fontId="29" fillId="0" borderId="0" xfId="0" applyFont="1" applyAlignment="1">
      <alignment horizontal="left" vertical="center"/>
    </xf>
    <xf numFmtId="0" fontId="23" fillId="0" borderId="0" xfId="0" applyFont="1" applyAlignment="1"/>
    <xf numFmtId="0" fontId="28" fillId="6" borderId="0" xfId="0" applyFont="1" applyFill="1"/>
    <xf numFmtId="0" fontId="30" fillId="6" borderId="0" xfId="0" applyFont="1" applyFill="1"/>
    <xf numFmtId="0" fontId="28" fillId="6" borderId="0" xfId="0" applyFont="1" applyFill="1" applyBorder="1" applyAlignment="1">
      <alignment horizontal="center"/>
    </xf>
    <xf numFmtId="0" fontId="4" fillId="6" borderId="0" xfId="0" applyFont="1" applyFill="1" applyBorder="1" applyAlignment="1">
      <alignment horizontal="center"/>
    </xf>
    <xf numFmtId="0" fontId="31" fillId="6" borderId="0" xfId="0" applyFont="1" applyFill="1" applyBorder="1"/>
    <xf numFmtId="0" fontId="4" fillId="7" borderId="0" xfId="0" applyFont="1" applyFill="1" applyAlignment="1">
      <alignment wrapText="1"/>
    </xf>
    <xf numFmtId="0" fontId="33" fillId="0" borderId="0" xfId="0" applyFont="1" applyFill="1"/>
    <xf numFmtId="0" fontId="32" fillId="2" borderId="0" xfId="0" applyFont="1" applyFill="1"/>
    <xf numFmtId="0" fontId="33" fillId="2" borderId="0" xfId="0" applyFont="1" applyFill="1"/>
    <xf numFmtId="14" fontId="33" fillId="0" borderId="0" xfId="0" applyNumberFormat="1" applyFont="1" applyFill="1"/>
    <xf numFmtId="1" fontId="33" fillId="0" borderId="0" xfId="0" applyNumberFormat="1" applyFont="1" applyFill="1"/>
    <xf numFmtId="0" fontId="32" fillId="0" borderId="0" xfId="0" applyFont="1" applyFill="1"/>
    <xf numFmtId="0" fontId="32" fillId="0" borderId="1" xfId="0" applyFont="1" applyFill="1" applyBorder="1"/>
    <xf numFmtId="0" fontId="33" fillId="2" borderId="2" xfId="0" applyFont="1" applyFill="1" applyBorder="1"/>
    <xf numFmtId="0" fontId="33" fillId="2" borderId="3" xfId="0" applyFont="1" applyFill="1" applyBorder="1"/>
    <xf numFmtId="0" fontId="33" fillId="0" borderId="2" xfId="0" applyFont="1" applyFill="1" applyBorder="1"/>
    <xf numFmtId="0" fontId="33" fillId="0" borderId="3" xfId="0" applyFont="1" applyFill="1" applyBorder="1"/>
    <xf numFmtId="0" fontId="32" fillId="0" borderId="4" xfId="0" applyFont="1" applyFill="1" applyBorder="1"/>
    <xf numFmtId="0" fontId="33" fillId="0" borderId="0" xfId="0" applyFont="1" applyFill="1" applyBorder="1"/>
    <xf numFmtId="0" fontId="33" fillId="0" borderId="5" xfId="0" applyFont="1" applyFill="1" applyBorder="1"/>
    <xf numFmtId="166" fontId="33" fillId="0" borderId="5" xfId="0" applyNumberFormat="1" applyFont="1" applyFill="1" applyBorder="1"/>
    <xf numFmtId="0" fontId="34" fillId="2" borderId="0" xfId="0" applyFont="1" applyFill="1"/>
    <xf numFmtId="0" fontId="33" fillId="2" borderId="5" xfId="0" applyFont="1" applyFill="1" applyBorder="1"/>
    <xf numFmtId="0" fontId="33" fillId="0" borderId="0" xfId="0" applyFont="1"/>
    <xf numFmtId="0" fontId="35" fillId="0" borderId="0" xfId="0" applyFont="1" applyFill="1"/>
    <xf numFmtId="9" fontId="33" fillId="0" borderId="0" xfId="1" applyFont="1" applyFill="1"/>
    <xf numFmtId="0" fontId="33" fillId="0" borderId="0" xfId="0" quotePrefix="1" applyFont="1" applyFill="1"/>
    <xf numFmtId="0" fontId="33" fillId="2" borderId="0" xfId="0" applyFont="1" applyFill="1" applyBorder="1"/>
    <xf numFmtId="165" fontId="33" fillId="0" borderId="0" xfId="1" applyNumberFormat="1" applyFont="1" applyFill="1"/>
    <xf numFmtId="0" fontId="32" fillId="0" borderId="6" xfId="0" applyFont="1" applyFill="1" applyBorder="1"/>
    <xf numFmtId="0" fontId="33" fillId="0" borderId="7" xfId="0" applyFont="1" applyFill="1" applyBorder="1"/>
    <xf numFmtId="0" fontId="33" fillId="0" borderId="8" xfId="0" applyFont="1" applyFill="1" applyBorder="1"/>
    <xf numFmtId="2" fontId="33" fillId="0" borderId="0" xfId="1" applyNumberFormat="1" applyFont="1" applyFill="1"/>
    <xf numFmtId="167" fontId="36" fillId="2" borderId="14" xfId="2" applyNumberFormat="1" applyFont="1" applyFill="1" applyBorder="1" applyAlignment="1">
      <alignment wrapText="1"/>
    </xf>
    <xf numFmtId="167" fontId="36" fillId="0" borderId="14" xfId="2" applyNumberFormat="1" applyFont="1" applyFill="1" applyBorder="1" applyAlignment="1">
      <alignment wrapText="1"/>
    </xf>
    <xf numFmtId="1" fontId="33" fillId="0" borderId="0" xfId="1" applyNumberFormat="1" applyFont="1" applyFill="1"/>
    <xf numFmtId="167" fontId="37" fillId="2" borderId="14" xfId="2" applyNumberFormat="1" applyFont="1" applyFill="1" applyBorder="1" applyAlignment="1">
      <alignment wrapText="1"/>
    </xf>
    <xf numFmtId="167" fontId="37" fillId="0" borderId="14" xfId="2" applyNumberFormat="1" applyFont="1" applyFill="1" applyBorder="1" applyAlignment="1">
      <alignment wrapText="1"/>
    </xf>
    <xf numFmtId="10" fontId="33" fillId="0" borderId="0" xfId="1" applyNumberFormat="1" applyFont="1" applyFill="1"/>
    <xf numFmtId="0" fontId="33" fillId="0" borderId="0" xfId="0" applyFont="1" applyFill="1" applyProtection="1"/>
    <xf numFmtId="167" fontId="37" fillId="2" borderId="15" xfId="2" applyNumberFormat="1" applyFont="1" applyFill="1" applyBorder="1" applyAlignment="1">
      <alignment wrapText="1"/>
    </xf>
    <xf numFmtId="167" fontId="37" fillId="0" borderId="15" xfId="2" applyNumberFormat="1" applyFont="1" applyFill="1" applyBorder="1" applyAlignment="1">
      <alignment wrapText="1"/>
    </xf>
    <xf numFmtId="167" fontId="36" fillId="2" borderId="15" xfId="2" applyNumberFormat="1" applyFont="1" applyFill="1" applyBorder="1" applyAlignment="1">
      <alignment wrapText="1"/>
    </xf>
    <xf numFmtId="167" fontId="36" fillId="0" borderId="15" xfId="2" applyNumberFormat="1" applyFont="1" applyFill="1" applyBorder="1" applyAlignment="1">
      <alignment wrapText="1"/>
    </xf>
    <xf numFmtId="167" fontId="36" fillId="2" borderId="13" xfId="2" applyNumberFormat="1" applyFont="1" applyFill="1" applyBorder="1" applyAlignment="1">
      <alignment horizontal="center" wrapText="1"/>
    </xf>
    <xf numFmtId="165" fontId="38" fillId="2" borderId="16" xfId="1" applyNumberFormat="1" applyFont="1" applyFill="1" applyBorder="1" applyAlignment="1">
      <alignment horizontal="center" vertical="center"/>
    </xf>
    <xf numFmtId="167" fontId="36" fillId="0" borderId="13" xfId="2" applyNumberFormat="1" applyFont="1" applyFill="1" applyBorder="1" applyAlignment="1">
      <alignment horizontal="center" wrapText="1"/>
    </xf>
    <xf numFmtId="165" fontId="38" fillId="0" borderId="16" xfId="1" applyNumberFormat="1" applyFont="1" applyFill="1" applyBorder="1" applyAlignment="1">
      <alignment horizontal="center" vertical="center"/>
    </xf>
    <xf numFmtId="10" fontId="33" fillId="0" borderId="0" xfId="0" applyNumberFormat="1" applyFont="1" applyFill="1"/>
    <xf numFmtId="167" fontId="36" fillId="2" borderId="14" xfId="2" applyNumberFormat="1" applyFont="1" applyFill="1" applyBorder="1" applyAlignment="1">
      <alignment horizontal="center" wrapText="1"/>
    </xf>
    <xf numFmtId="165" fontId="38" fillId="2" borderId="17" xfId="1" applyNumberFormat="1" applyFont="1" applyFill="1" applyBorder="1" applyAlignment="1">
      <alignment horizontal="center" vertical="center"/>
    </xf>
    <xf numFmtId="167" fontId="36" fillId="0" borderId="14" xfId="2" applyNumberFormat="1" applyFont="1" applyFill="1" applyBorder="1" applyAlignment="1">
      <alignment horizontal="center" wrapText="1"/>
    </xf>
    <xf numFmtId="165" fontId="38" fillId="0" borderId="17" xfId="1" applyNumberFormat="1" applyFont="1" applyFill="1" applyBorder="1" applyAlignment="1">
      <alignment horizontal="center" vertical="center"/>
    </xf>
    <xf numFmtId="167" fontId="36" fillId="2" borderId="15" xfId="2" applyNumberFormat="1" applyFont="1" applyFill="1" applyBorder="1" applyAlignment="1">
      <alignment horizontal="center" wrapText="1"/>
    </xf>
    <xf numFmtId="165" fontId="38" fillId="2" borderId="18" xfId="1" applyNumberFormat="1" applyFont="1" applyFill="1" applyBorder="1" applyAlignment="1">
      <alignment horizontal="center" vertical="center"/>
    </xf>
    <xf numFmtId="167" fontId="36" fillId="0" borderId="15" xfId="2" applyNumberFormat="1" applyFont="1" applyFill="1" applyBorder="1" applyAlignment="1">
      <alignment horizontal="center" wrapText="1"/>
    </xf>
    <xf numFmtId="165" fontId="38" fillId="0" borderId="18" xfId="1" applyNumberFormat="1" applyFont="1" applyFill="1" applyBorder="1" applyAlignment="1">
      <alignment horizontal="center" vertical="center"/>
    </xf>
    <xf numFmtId="0" fontId="4" fillId="2" borderId="0" xfId="0" applyFont="1" applyFill="1" applyAlignment="1">
      <alignment horizontal="left"/>
    </xf>
    <xf numFmtId="0" fontId="22" fillId="0" borderId="0" xfId="0" applyFont="1" applyAlignment="1">
      <alignment horizontal="right" vertical="top"/>
    </xf>
    <xf numFmtId="0" fontId="39" fillId="0" borderId="0" xfId="0" applyFont="1"/>
    <xf numFmtId="0" fontId="40" fillId="0" borderId="0" xfId="0" applyFont="1"/>
    <xf numFmtId="17" fontId="32" fillId="2" borderId="0" xfId="0" applyNumberFormat="1" applyFont="1" applyFill="1"/>
    <xf numFmtId="0" fontId="18" fillId="2" borderId="0" xfId="0" applyFont="1" applyFill="1" applyAlignment="1">
      <alignment horizontal="right"/>
    </xf>
    <xf numFmtId="0" fontId="4" fillId="0" borderId="0" xfId="0" applyFont="1" applyAlignment="1">
      <alignment horizontal="center" wrapText="1"/>
    </xf>
    <xf numFmtId="0" fontId="4" fillId="0" borderId="0" xfId="0" applyFont="1" applyAlignment="1">
      <alignment horizontal="left"/>
    </xf>
    <xf numFmtId="0" fontId="20" fillId="0" borderId="0" xfId="0" quotePrefix="1" applyFont="1" applyAlignment="1">
      <alignment horizontal="left"/>
    </xf>
    <xf numFmtId="0" fontId="29" fillId="0" borderId="0" xfId="0" applyFont="1" applyAlignment="1">
      <alignment horizontal="center" vertical="center"/>
    </xf>
    <xf numFmtId="0" fontId="4" fillId="3" borderId="0" xfId="0" applyFont="1" applyFill="1" applyAlignment="1">
      <alignment horizontal="left" wrapText="1"/>
    </xf>
    <xf numFmtId="0" fontId="11" fillId="0" borderId="0" xfId="0" applyFont="1" applyAlignment="1">
      <alignment horizontal="justify" wrapText="1"/>
    </xf>
    <xf numFmtId="0" fontId="12" fillId="0" borderId="0" xfId="0" applyFont="1" applyAlignment="1">
      <alignment horizontal="justify" wrapText="1"/>
    </xf>
    <xf numFmtId="0" fontId="41" fillId="0" borderId="0" xfId="0" applyFont="1"/>
    <xf numFmtId="14" fontId="42" fillId="0" borderId="0" xfId="0" applyNumberFormat="1" applyFont="1"/>
    <xf numFmtId="0" fontId="43" fillId="0" borderId="0" xfId="0" applyFont="1" applyAlignment="1">
      <alignment horizontal="center"/>
    </xf>
    <xf numFmtId="0" fontId="44" fillId="0" borderId="9" xfId="0" applyFont="1" applyBorder="1" applyAlignment="1">
      <alignment horizontal="center"/>
    </xf>
    <xf numFmtId="0" fontId="44" fillId="0" borderId="10" xfId="0" applyFont="1" applyBorder="1" applyAlignment="1">
      <alignment horizontal="center"/>
    </xf>
    <xf numFmtId="0" fontId="44" fillId="0" borderId="11" xfId="0" applyFont="1" applyBorder="1" applyAlignment="1">
      <alignment horizontal="center"/>
    </xf>
    <xf numFmtId="0" fontId="44" fillId="0" borderId="10" xfId="0" applyFont="1" applyFill="1" applyBorder="1" applyAlignment="1">
      <alignment horizontal="center"/>
    </xf>
    <xf numFmtId="0" fontId="44" fillId="0" borderId="12" xfId="0" applyFont="1" applyFill="1" applyBorder="1" applyAlignment="1">
      <alignment horizontal="center"/>
    </xf>
    <xf numFmtId="0" fontId="44" fillId="0" borderId="11" xfId="0" applyFont="1" applyFill="1" applyBorder="1" applyAlignment="1">
      <alignment horizontal="center"/>
    </xf>
    <xf numFmtId="14" fontId="44" fillId="0" borderId="0" xfId="0" applyNumberFormat="1" applyFont="1" applyAlignment="1">
      <alignment horizontal="center"/>
    </xf>
    <xf numFmtId="0" fontId="44" fillId="0" borderId="0" xfId="0" applyFont="1" applyAlignment="1">
      <alignment horizontal="right"/>
    </xf>
    <xf numFmtId="0" fontId="45" fillId="0" borderId="0" xfId="0" quotePrefix="1" applyFont="1"/>
    <xf numFmtId="0" fontId="47" fillId="0" borderId="0" xfId="0" applyFont="1"/>
    <xf numFmtId="9" fontId="44" fillId="0" borderId="9" xfId="0" applyNumberFormat="1" applyFont="1" applyBorder="1" applyAlignment="1">
      <alignment horizontal="center"/>
    </xf>
    <xf numFmtId="0" fontId="48" fillId="0" borderId="0" xfId="0" applyFont="1" applyAlignment="1">
      <alignment horizontal="center"/>
    </xf>
    <xf numFmtId="0" fontId="44" fillId="0" borderId="0" xfId="0" applyFont="1"/>
    <xf numFmtId="165" fontId="44" fillId="0" borderId="9" xfId="1" applyNumberFormat="1" applyFont="1" applyBorder="1" applyAlignment="1">
      <alignment horizontal="center"/>
    </xf>
    <xf numFmtId="167" fontId="44" fillId="0" borderId="0" xfId="2" applyNumberFormat="1" applyFont="1"/>
    <xf numFmtId="165" fontId="44" fillId="0" borderId="0" xfId="1" applyNumberFormat="1" applyFont="1"/>
    <xf numFmtId="165" fontId="44" fillId="0" borderId="9" xfId="0" applyNumberFormat="1" applyFont="1" applyBorder="1"/>
    <xf numFmtId="1" fontId="44" fillId="0" borderId="9" xfId="0" applyNumberFormat="1" applyFont="1" applyBorder="1" applyAlignment="1">
      <alignment horizontal="center"/>
    </xf>
    <xf numFmtId="165" fontId="44" fillId="0" borderId="9" xfId="1" applyNumberFormat="1" applyFont="1" applyBorder="1"/>
    <xf numFmtId="0" fontId="9" fillId="0" borderId="0" xfId="0" applyFont="1"/>
    <xf numFmtId="2" fontId="50" fillId="0" borderId="9" xfId="0" applyNumberFormat="1" applyFont="1" applyBorder="1" applyAlignment="1">
      <alignment horizontal="center"/>
    </xf>
  </cellXfs>
  <cellStyles count="5">
    <cellStyle name="Milliers" xfId="2" builtinId="3"/>
    <cellStyle name="Normal" xfId="0" builtinId="0"/>
    <cellStyle name="Normal 2" xfId="4" xr:uid="{00000000-0005-0000-0000-000002000000}"/>
    <cellStyle name="Normal_IC97-RAM" xfId="3" xr:uid="{00000000-0005-0000-0000-000006000000}"/>
    <cellStyle name="Pourcentage" xfId="1" builtinId="5"/>
  </cellStyles>
  <dxfs count="14">
    <dxf>
      <font>
        <b/>
        <i val="0"/>
        <color rgb="FFFF0000"/>
      </font>
      <fill>
        <patternFill>
          <bgColor rgb="FFFFFF00"/>
        </patternFill>
      </fill>
    </dxf>
    <dxf>
      <font>
        <b/>
        <i val="0"/>
        <color rgb="FFFF0000"/>
      </font>
      <fill>
        <patternFill>
          <bgColor rgb="FFFFFF00"/>
        </patternFill>
      </fill>
    </dxf>
    <dxf>
      <font>
        <b/>
        <i val="0"/>
        <strike val="0"/>
        <color rgb="FFFF0000"/>
      </font>
      <fill>
        <patternFill>
          <bgColor rgb="FFFFFF00"/>
        </patternFill>
      </fill>
    </dxf>
    <dxf>
      <font>
        <b/>
        <i val="0"/>
        <color rgb="FFFF0000"/>
      </font>
    </dxf>
    <dxf>
      <font>
        <b/>
        <i val="0"/>
        <color rgb="FFFF0000"/>
      </font>
      <fill>
        <patternFill>
          <bgColor rgb="FFFF0000"/>
        </patternFill>
      </fill>
    </dxf>
    <dxf>
      <font>
        <b/>
        <i val="0"/>
      </font>
      <fill>
        <patternFill>
          <bgColor rgb="FFFF0000"/>
        </patternFill>
      </fill>
    </dxf>
    <dxf>
      <font>
        <color rgb="FFFF0000"/>
      </font>
      <fill>
        <patternFill>
          <bgColor rgb="FFFF0000"/>
        </patternFill>
      </fill>
    </dxf>
    <dxf>
      <font>
        <color theme="1"/>
      </font>
      <fill>
        <patternFill>
          <bgColor rgb="FFFF0000"/>
        </patternFill>
      </fill>
    </dxf>
    <dxf>
      <font>
        <b/>
        <i val="0"/>
        <color rgb="FF0000CC"/>
      </font>
    </dxf>
    <dxf>
      <font>
        <b/>
        <i val="0"/>
        <color rgb="FF00B050"/>
      </font>
    </dxf>
    <dxf>
      <font>
        <b/>
        <i val="0"/>
        <color rgb="FFFF0000"/>
      </font>
    </dxf>
    <dxf>
      <font>
        <b/>
        <i val="0"/>
        <color rgb="FF00B050"/>
      </font>
    </dxf>
    <dxf>
      <font>
        <b/>
        <i val="0"/>
        <color rgb="FF0000CC"/>
      </font>
    </dxf>
    <dxf>
      <font>
        <b/>
        <i val="0"/>
        <color rgb="FFFF0000"/>
      </font>
    </dxf>
  </dxfs>
  <tableStyles count="0" defaultTableStyle="TableStyleMedium9" defaultPivotStyle="PivotStyleLight16"/>
  <colors>
    <mruColors>
      <color rgb="FF0F3F93"/>
      <color rgb="FFFF33CC"/>
      <color rgb="FFFFFF66"/>
      <color rgb="FFCC0099"/>
      <color rgb="FF0000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jpe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png"/><Relationship Id="rId1" Type="http://schemas.openxmlformats.org/officeDocument/2006/relationships/image" Target="../media/image11.emf"/><Relationship Id="rId5" Type="http://schemas.openxmlformats.org/officeDocument/2006/relationships/image" Target="../media/image15.png"/><Relationship Id="rId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6</xdr:col>
      <xdr:colOff>511968</xdr:colOff>
      <xdr:row>13</xdr:row>
      <xdr:rowOff>50798</xdr:rowOff>
    </xdr:from>
    <xdr:to>
      <xdr:col>8</xdr:col>
      <xdr:colOff>275656</xdr:colOff>
      <xdr:row>18</xdr:row>
      <xdr:rowOff>26987</xdr:rowOff>
    </xdr:to>
    <xdr:pic>
      <xdr:nvPicPr>
        <xdr:cNvPr id="5" name="Image 4">
          <a:extLst>
            <a:ext uri="{FF2B5EF4-FFF2-40B4-BE49-F238E27FC236}">
              <a16:creationId xmlns:a16="http://schemas.microsoft.com/office/drawing/2014/main" id="{E6409C06-505C-4819-B025-0C1FEF48C7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0499" y="2551111"/>
          <a:ext cx="1355951" cy="1199357"/>
        </a:xfrm>
        <a:prstGeom prst="rect">
          <a:avLst/>
        </a:prstGeom>
      </xdr:spPr>
    </xdr:pic>
    <xdr:clientData/>
  </xdr:twoCellAnchor>
  <xdr:twoCellAnchor editAs="oneCell">
    <xdr:from>
      <xdr:col>6</xdr:col>
      <xdr:colOff>511968</xdr:colOff>
      <xdr:row>13</xdr:row>
      <xdr:rowOff>50798</xdr:rowOff>
    </xdr:from>
    <xdr:to>
      <xdr:col>8</xdr:col>
      <xdr:colOff>275656</xdr:colOff>
      <xdr:row>18</xdr:row>
      <xdr:rowOff>30162</xdr:rowOff>
    </xdr:to>
    <xdr:pic>
      <xdr:nvPicPr>
        <xdr:cNvPr id="7" name="Image 6">
          <a:extLst>
            <a:ext uri="{FF2B5EF4-FFF2-40B4-BE49-F238E27FC236}">
              <a16:creationId xmlns:a16="http://schemas.microsoft.com/office/drawing/2014/main" id="{B3CED198-1674-4EE4-BA65-C7A372B47F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10499" y="2551111"/>
          <a:ext cx="1362301" cy="1205707"/>
        </a:xfrm>
        <a:prstGeom prst="rect">
          <a:avLst/>
        </a:prstGeom>
      </xdr:spPr>
    </xdr:pic>
    <xdr:clientData/>
  </xdr:twoCellAnchor>
  <xdr:twoCellAnchor editAs="oneCell">
    <xdr:from>
      <xdr:col>1</xdr:col>
      <xdr:colOff>1188243</xdr:colOff>
      <xdr:row>3</xdr:row>
      <xdr:rowOff>83344</xdr:rowOff>
    </xdr:from>
    <xdr:to>
      <xdr:col>1</xdr:col>
      <xdr:colOff>1744433</xdr:colOff>
      <xdr:row>5</xdr:row>
      <xdr:rowOff>172243</xdr:rowOff>
    </xdr:to>
    <xdr:pic>
      <xdr:nvPicPr>
        <xdr:cNvPr id="8" name="Image 7">
          <a:extLst>
            <a:ext uri="{FF2B5EF4-FFF2-40B4-BE49-F238E27FC236}">
              <a16:creationId xmlns:a16="http://schemas.microsoft.com/office/drawing/2014/main" id="{21516534-A5B8-48FD-BED1-C51B22025AB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85962" y="559594"/>
          <a:ext cx="553015" cy="4937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212724</xdr:colOff>
      <xdr:row>47</xdr:row>
      <xdr:rowOff>85725</xdr:rowOff>
    </xdr:from>
    <xdr:to>
      <xdr:col>12</xdr:col>
      <xdr:colOff>85725</xdr:colOff>
      <xdr:row>59</xdr:row>
      <xdr:rowOff>104775</xdr:rowOff>
    </xdr:to>
    <xdr:sp macro="" textlink="">
      <xdr:nvSpPr>
        <xdr:cNvPr id="26" name="AutoShape 21">
          <a:extLst>
            <a:ext uri="{FF2B5EF4-FFF2-40B4-BE49-F238E27FC236}">
              <a16:creationId xmlns:a16="http://schemas.microsoft.com/office/drawing/2014/main" id="{00000000-0008-0000-0200-00001A000000}"/>
            </a:ext>
          </a:extLst>
        </xdr:cNvPr>
        <xdr:cNvSpPr>
          <a:spLocks noChangeArrowheads="1"/>
        </xdr:cNvSpPr>
      </xdr:nvSpPr>
      <xdr:spPr bwMode="auto">
        <a:xfrm>
          <a:off x="212724" y="8696325"/>
          <a:ext cx="8512176" cy="1857375"/>
        </a:xfrm>
        <a:prstGeom prst="roundRect">
          <a:avLst>
            <a:gd name="adj" fmla="val 6634"/>
          </a:avLst>
        </a:prstGeom>
        <a:solidFill>
          <a:srgbClr val="FFFFFF">
            <a:alpha val="0"/>
          </a:srgbClr>
        </a:solidFill>
        <a:ln w="12700">
          <a:solidFill>
            <a:srgbClr val="000000"/>
          </a:solidFill>
          <a:round/>
          <a:headEnd/>
          <a:tailEnd/>
        </a:ln>
      </xdr:spPr>
      <xdr:txBody>
        <a:bodyPr/>
        <a:lstStyle/>
        <a:p>
          <a:endParaRPr lang="fr-FR"/>
        </a:p>
      </xdr:txBody>
    </xdr:sp>
    <xdr:clientData/>
  </xdr:twoCellAnchor>
  <xdr:twoCellAnchor>
    <xdr:from>
      <xdr:col>0</xdr:col>
      <xdr:colOff>215900</xdr:colOff>
      <xdr:row>21</xdr:row>
      <xdr:rowOff>120650</xdr:rowOff>
    </xdr:from>
    <xdr:to>
      <xdr:col>12</xdr:col>
      <xdr:colOff>44450</xdr:colOff>
      <xdr:row>27</xdr:row>
      <xdr:rowOff>73025</xdr:rowOff>
    </xdr:to>
    <xdr:sp macro="" textlink="">
      <xdr:nvSpPr>
        <xdr:cNvPr id="2069" name="AutoShape 21">
          <a:extLst>
            <a:ext uri="{FF2B5EF4-FFF2-40B4-BE49-F238E27FC236}">
              <a16:creationId xmlns:a16="http://schemas.microsoft.com/office/drawing/2014/main" id="{00000000-0008-0000-0200-000015080000}"/>
            </a:ext>
          </a:extLst>
        </xdr:cNvPr>
        <xdr:cNvSpPr>
          <a:spLocks noChangeArrowheads="1"/>
        </xdr:cNvSpPr>
      </xdr:nvSpPr>
      <xdr:spPr bwMode="auto">
        <a:xfrm>
          <a:off x="215900" y="4654550"/>
          <a:ext cx="8467725" cy="971550"/>
        </a:xfrm>
        <a:prstGeom prst="roundRect">
          <a:avLst>
            <a:gd name="adj" fmla="val 10556"/>
          </a:avLst>
        </a:prstGeom>
        <a:solidFill>
          <a:srgbClr val="FFFFFF">
            <a:alpha val="0"/>
          </a:srgbClr>
        </a:solidFill>
        <a:ln w="12700">
          <a:solidFill>
            <a:srgbClr val="000000"/>
          </a:solidFill>
          <a:round/>
          <a:headEnd/>
          <a:tailEnd/>
        </a:ln>
      </xdr:spPr>
    </xdr:sp>
    <xdr:clientData/>
  </xdr:twoCellAnchor>
  <xdr:twoCellAnchor>
    <xdr:from>
      <xdr:col>0</xdr:col>
      <xdr:colOff>177800</xdr:colOff>
      <xdr:row>29</xdr:row>
      <xdr:rowOff>53975</xdr:rowOff>
    </xdr:from>
    <xdr:to>
      <xdr:col>12</xdr:col>
      <xdr:colOff>85725</xdr:colOff>
      <xdr:row>45</xdr:row>
      <xdr:rowOff>38100</xdr:rowOff>
    </xdr:to>
    <xdr:sp macro="" textlink="">
      <xdr:nvSpPr>
        <xdr:cNvPr id="23" name="AutoShape 21">
          <a:extLst>
            <a:ext uri="{FF2B5EF4-FFF2-40B4-BE49-F238E27FC236}">
              <a16:creationId xmlns:a16="http://schemas.microsoft.com/office/drawing/2014/main" id="{00000000-0008-0000-0200-000017000000}"/>
            </a:ext>
          </a:extLst>
        </xdr:cNvPr>
        <xdr:cNvSpPr>
          <a:spLocks noChangeArrowheads="1"/>
        </xdr:cNvSpPr>
      </xdr:nvSpPr>
      <xdr:spPr bwMode="auto">
        <a:xfrm>
          <a:off x="177800" y="6045200"/>
          <a:ext cx="8547100" cy="2708275"/>
        </a:xfrm>
        <a:prstGeom prst="roundRect">
          <a:avLst>
            <a:gd name="adj" fmla="val 6634"/>
          </a:avLst>
        </a:prstGeom>
        <a:solidFill>
          <a:srgbClr val="FFFFFF">
            <a:alpha val="0"/>
          </a:srgbClr>
        </a:solidFill>
        <a:ln w="12700">
          <a:solidFill>
            <a:srgbClr val="000000"/>
          </a:solidFill>
          <a:round/>
          <a:headEnd/>
          <a:tailEnd/>
        </a:ln>
      </xdr:spPr>
    </xdr:sp>
    <xdr:clientData/>
  </xdr:twoCellAnchor>
  <xdr:twoCellAnchor>
    <xdr:from>
      <xdr:col>0</xdr:col>
      <xdr:colOff>160867</xdr:colOff>
      <xdr:row>2</xdr:row>
      <xdr:rowOff>198967</xdr:rowOff>
    </xdr:from>
    <xdr:to>
      <xdr:col>12</xdr:col>
      <xdr:colOff>30692</xdr:colOff>
      <xdr:row>19</xdr:row>
      <xdr:rowOff>87842</xdr:rowOff>
    </xdr:to>
    <xdr:sp macro="" textlink="">
      <xdr:nvSpPr>
        <xdr:cNvPr id="24" name="AutoShape 21">
          <a:extLst>
            <a:ext uri="{FF2B5EF4-FFF2-40B4-BE49-F238E27FC236}">
              <a16:creationId xmlns:a16="http://schemas.microsoft.com/office/drawing/2014/main" id="{00000000-0008-0000-0200-000018000000}"/>
            </a:ext>
          </a:extLst>
        </xdr:cNvPr>
        <xdr:cNvSpPr>
          <a:spLocks noChangeArrowheads="1"/>
        </xdr:cNvSpPr>
      </xdr:nvSpPr>
      <xdr:spPr bwMode="auto">
        <a:xfrm>
          <a:off x="160867" y="608542"/>
          <a:ext cx="8509000" cy="3594100"/>
        </a:xfrm>
        <a:prstGeom prst="roundRect">
          <a:avLst>
            <a:gd name="adj" fmla="val 6634"/>
          </a:avLst>
        </a:prstGeom>
        <a:solidFill>
          <a:srgbClr val="FFFFFF">
            <a:alpha val="0"/>
          </a:srgbClr>
        </a:solidFill>
        <a:ln w="12700">
          <a:solidFill>
            <a:srgbClr val="000000"/>
          </a:solidFill>
          <a:round/>
          <a:headEnd/>
          <a:tailEnd/>
        </a:ln>
      </xdr:spPr>
      <xdr:txBody>
        <a:bodyPr/>
        <a:lstStyle/>
        <a:p>
          <a:endParaRPr lang="en-US"/>
        </a:p>
      </xdr:txBody>
    </xdr:sp>
    <xdr:clientData/>
  </xdr:twoCellAnchor>
  <xdr:twoCellAnchor editAs="oneCell">
    <xdr:from>
      <xdr:col>0</xdr:col>
      <xdr:colOff>57150</xdr:colOff>
      <xdr:row>0</xdr:row>
      <xdr:rowOff>47625</xdr:rowOff>
    </xdr:from>
    <xdr:to>
      <xdr:col>1</xdr:col>
      <xdr:colOff>396876</xdr:colOff>
      <xdr:row>2</xdr:row>
      <xdr:rowOff>151242</xdr:rowOff>
    </xdr:to>
    <xdr:pic>
      <xdr:nvPicPr>
        <xdr:cNvPr id="7" name="Image 6">
          <a:extLst>
            <a:ext uri="{FF2B5EF4-FFF2-40B4-BE49-F238E27FC236}">
              <a16:creationId xmlns:a16="http://schemas.microsoft.com/office/drawing/2014/main" id="{99FD9BBB-76EA-40C0-A92E-1B5903A32A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587376" cy="513192"/>
        </a:xfrm>
        <a:prstGeom prst="rect">
          <a:avLst/>
        </a:prstGeom>
      </xdr:spPr>
    </xdr:pic>
    <xdr:clientData/>
  </xdr:twoCellAnchor>
  <xdr:twoCellAnchor>
    <xdr:from>
      <xdr:col>0</xdr:col>
      <xdr:colOff>215900</xdr:colOff>
      <xdr:row>40</xdr:row>
      <xdr:rowOff>85725</xdr:rowOff>
    </xdr:from>
    <xdr:to>
      <xdr:col>11</xdr:col>
      <xdr:colOff>187325</xdr:colOff>
      <xdr:row>42</xdr:row>
      <xdr:rowOff>149225</xdr:rowOff>
    </xdr:to>
    <xdr:sp macro="" textlink="">
      <xdr:nvSpPr>
        <xdr:cNvPr id="8" name="AutoShape 21">
          <a:extLst>
            <a:ext uri="{FF2B5EF4-FFF2-40B4-BE49-F238E27FC236}">
              <a16:creationId xmlns:a16="http://schemas.microsoft.com/office/drawing/2014/main" id="{A55BB298-E63F-4788-890B-054B93719E92}"/>
            </a:ext>
          </a:extLst>
        </xdr:cNvPr>
        <xdr:cNvSpPr>
          <a:spLocks noChangeArrowheads="1"/>
        </xdr:cNvSpPr>
      </xdr:nvSpPr>
      <xdr:spPr bwMode="auto">
        <a:xfrm>
          <a:off x="215900" y="7924800"/>
          <a:ext cx="8086725" cy="473075"/>
        </a:xfrm>
        <a:prstGeom prst="roundRect">
          <a:avLst>
            <a:gd name="adj" fmla="val 6634"/>
          </a:avLst>
        </a:prstGeom>
        <a:solidFill>
          <a:srgbClr val="FFFFFF">
            <a:alpha val="0"/>
          </a:srgbClr>
        </a:solidFill>
        <a:ln w="19050">
          <a:solidFill>
            <a:srgbClr val="0F3F93"/>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317499</xdr:colOff>
      <xdr:row>16</xdr:row>
      <xdr:rowOff>168275</xdr:rowOff>
    </xdr:from>
    <xdr:to>
      <xdr:col>11</xdr:col>
      <xdr:colOff>266699</xdr:colOff>
      <xdr:row>47</xdr:row>
      <xdr:rowOff>17318</xdr:rowOff>
    </xdr:to>
    <xdr:pic>
      <xdr:nvPicPr>
        <xdr:cNvPr id="12" name="Image 11">
          <a:extLst>
            <a:ext uri="{FF2B5EF4-FFF2-40B4-BE49-F238E27FC236}">
              <a16:creationId xmlns:a16="http://schemas.microsoft.com/office/drawing/2014/main" id="{DF2BB2AF-3701-4D80-B75B-6348B655BC8E}"/>
            </a:ext>
          </a:extLst>
        </xdr:cNvPr>
        <xdr:cNvPicPr>
          <a:picLocks noChangeAspect="1"/>
        </xdr:cNvPicPr>
      </xdr:nvPicPr>
      <xdr:blipFill>
        <a:blip xmlns:r="http://schemas.openxmlformats.org/officeDocument/2006/relationships" r:embed="rId1"/>
        <a:stretch>
          <a:fillRect/>
        </a:stretch>
      </xdr:blipFill>
      <xdr:spPr>
        <a:xfrm>
          <a:off x="317499" y="2962275"/>
          <a:ext cx="8680450" cy="5516418"/>
        </a:xfrm>
        <a:prstGeom prst="rect">
          <a:avLst/>
        </a:prstGeom>
      </xdr:spPr>
    </xdr:pic>
    <xdr:clientData/>
  </xdr:twoCellAnchor>
  <xdr:twoCellAnchor editAs="oneCell">
    <xdr:from>
      <xdr:col>0</xdr:col>
      <xdr:colOff>263071</xdr:colOff>
      <xdr:row>0</xdr:row>
      <xdr:rowOff>154215</xdr:rowOff>
    </xdr:from>
    <xdr:to>
      <xdr:col>10</xdr:col>
      <xdr:colOff>143631</xdr:colOff>
      <xdr:row>17</xdr:row>
      <xdr:rowOff>50887</xdr:rowOff>
    </xdr:to>
    <xdr:pic>
      <xdr:nvPicPr>
        <xdr:cNvPr id="6" name="Image 5">
          <a:extLst>
            <a:ext uri="{FF2B5EF4-FFF2-40B4-BE49-F238E27FC236}">
              <a16:creationId xmlns:a16="http://schemas.microsoft.com/office/drawing/2014/main" id="{E9179642-6A7D-403E-AC74-9DDAB25CA26F}"/>
            </a:ext>
          </a:extLst>
        </xdr:cNvPr>
        <xdr:cNvPicPr>
          <a:picLocks noChangeAspect="1"/>
        </xdr:cNvPicPr>
      </xdr:nvPicPr>
      <xdr:blipFill>
        <a:blip xmlns:r="http://schemas.openxmlformats.org/officeDocument/2006/relationships" r:embed="rId2"/>
        <a:stretch>
          <a:fillRect/>
        </a:stretch>
      </xdr:blipFill>
      <xdr:spPr>
        <a:xfrm>
          <a:off x="263071" y="154215"/>
          <a:ext cx="7863417" cy="2980958"/>
        </a:xfrm>
        <a:prstGeom prst="rect">
          <a:avLst/>
        </a:prstGeom>
      </xdr:spPr>
    </xdr:pic>
    <xdr:clientData/>
  </xdr:twoCellAnchor>
  <xdr:twoCellAnchor editAs="oneCell">
    <xdr:from>
      <xdr:col>0</xdr:col>
      <xdr:colOff>522818</xdr:colOff>
      <xdr:row>43</xdr:row>
      <xdr:rowOff>219678</xdr:rowOff>
    </xdr:from>
    <xdr:to>
      <xdr:col>11</xdr:col>
      <xdr:colOff>330200</xdr:colOff>
      <xdr:row>46</xdr:row>
      <xdr:rowOff>27349</xdr:rowOff>
    </xdr:to>
    <xdr:pic>
      <xdr:nvPicPr>
        <xdr:cNvPr id="4" name="Image 3">
          <a:extLst>
            <a:ext uri="{FF2B5EF4-FFF2-40B4-BE49-F238E27FC236}">
              <a16:creationId xmlns:a16="http://schemas.microsoft.com/office/drawing/2014/main" id="{080EA666-6F83-4044-84C5-EBB870CC1DF8}"/>
            </a:ext>
          </a:extLst>
        </xdr:cNvPr>
        <xdr:cNvPicPr>
          <a:picLocks noChangeAspect="1"/>
        </xdr:cNvPicPr>
      </xdr:nvPicPr>
      <xdr:blipFill>
        <a:blip xmlns:r="http://schemas.openxmlformats.org/officeDocument/2006/relationships" r:embed="rId3"/>
        <a:stretch>
          <a:fillRect/>
        </a:stretch>
      </xdr:blipFill>
      <xdr:spPr>
        <a:xfrm>
          <a:off x="522818" y="7919053"/>
          <a:ext cx="8538632" cy="395046"/>
        </a:xfrm>
        <a:prstGeom prst="rect">
          <a:avLst/>
        </a:prstGeom>
      </xdr:spPr>
    </xdr:pic>
    <xdr:clientData/>
  </xdr:twoCellAnchor>
  <xdr:twoCellAnchor>
    <xdr:from>
      <xdr:col>0</xdr:col>
      <xdr:colOff>619125</xdr:colOff>
      <xdr:row>18</xdr:row>
      <xdr:rowOff>15875</xdr:rowOff>
    </xdr:from>
    <xdr:to>
      <xdr:col>10</xdr:col>
      <xdr:colOff>95250</xdr:colOff>
      <xdr:row>21</xdr:row>
      <xdr:rowOff>222250</xdr:rowOff>
    </xdr:to>
    <xdr:sp macro="" textlink="">
      <xdr:nvSpPr>
        <xdr:cNvPr id="2" name="ZoneTexte 1">
          <a:extLst>
            <a:ext uri="{FF2B5EF4-FFF2-40B4-BE49-F238E27FC236}">
              <a16:creationId xmlns:a16="http://schemas.microsoft.com/office/drawing/2014/main" id="{7A62F24E-90FD-45B1-BE95-362CB5AB0539}"/>
            </a:ext>
          </a:extLst>
        </xdr:cNvPr>
        <xdr:cNvSpPr txBox="1"/>
      </xdr:nvSpPr>
      <xdr:spPr>
        <a:xfrm>
          <a:off x="619125" y="3159125"/>
          <a:ext cx="7413625" cy="793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600" b="1">
              <a:solidFill>
                <a:srgbClr val="0070C0"/>
              </a:solidFill>
            </a:rPr>
            <a:t>OATAM</a:t>
          </a:r>
          <a:r>
            <a:rPr lang="fr-FR" sz="1600" b="1"/>
            <a:t> Gross Annual Pay Spaces 2022 SEI SEF k€</a:t>
          </a:r>
        </a:p>
        <a:p>
          <a:pPr algn="ctr"/>
          <a:r>
            <a:rPr lang="fr-FR" sz="1400"/>
            <a:t>Gross basic Monthly</a:t>
          </a:r>
          <a:r>
            <a:rPr lang="fr-FR" sz="1400" baseline="0"/>
            <a:t> Pay x 12 + Potential target STIP or SIP (excluding seniority bonuses)</a:t>
          </a:r>
          <a:endParaRPr lang="fr-FR" sz="1400"/>
        </a:p>
      </xdr:txBody>
    </xdr:sp>
    <xdr:clientData/>
  </xdr:twoCellAnchor>
  <xdr:twoCellAnchor editAs="oneCell">
    <xdr:from>
      <xdr:col>10</xdr:col>
      <xdr:colOff>25399</xdr:colOff>
      <xdr:row>45</xdr:row>
      <xdr:rowOff>79375</xdr:rowOff>
    </xdr:from>
    <xdr:to>
      <xdr:col>21</xdr:col>
      <xdr:colOff>692641</xdr:colOff>
      <xdr:row>78</xdr:row>
      <xdr:rowOff>63500</xdr:rowOff>
    </xdr:to>
    <xdr:pic>
      <xdr:nvPicPr>
        <xdr:cNvPr id="7" name="Image 6">
          <a:extLst>
            <a:ext uri="{FF2B5EF4-FFF2-40B4-BE49-F238E27FC236}">
              <a16:creationId xmlns:a16="http://schemas.microsoft.com/office/drawing/2014/main" id="{A34B9472-901C-4771-ADD9-7E3816DF62CB}"/>
            </a:ext>
          </a:extLst>
        </xdr:cNvPr>
        <xdr:cNvPicPr>
          <a:picLocks noChangeAspect="1"/>
        </xdr:cNvPicPr>
      </xdr:nvPicPr>
      <xdr:blipFill>
        <a:blip xmlns:r="http://schemas.openxmlformats.org/officeDocument/2006/relationships" r:embed="rId4"/>
        <a:stretch>
          <a:fillRect/>
        </a:stretch>
      </xdr:blipFill>
      <xdr:spPr>
        <a:xfrm>
          <a:off x="7962899" y="8191500"/>
          <a:ext cx="9398492" cy="5746750"/>
        </a:xfrm>
        <a:prstGeom prst="rect">
          <a:avLst/>
        </a:prstGeom>
      </xdr:spPr>
    </xdr:pic>
    <xdr:clientData/>
  </xdr:twoCellAnchor>
  <xdr:twoCellAnchor editAs="oneCell">
    <xdr:from>
      <xdr:col>0</xdr:col>
      <xdr:colOff>127000</xdr:colOff>
      <xdr:row>52</xdr:row>
      <xdr:rowOff>31750</xdr:rowOff>
    </xdr:from>
    <xdr:to>
      <xdr:col>9</xdr:col>
      <xdr:colOff>656385</xdr:colOff>
      <xdr:row>72</xdr:row>
      <xdr:rowOff>51241</xdr:rowOff>
    </xdr:to>
    <xdr:pic>
      <xdr:nvPicPr>
        <xdr:cNvPr id="8" name="Image 7">
          <a:extLst>
            <a:ext uri="{FF2B5EF4-FFF2-40B4-BE49-F238E27FC236}">
              <a16:creationId xmlns:a16="http://schemas.microsoft.com/office/drawing/2014/main" id="{B120C7E2-5067-4CCD-BBCD-AF14142B714F}"/>
            </a:ext>
          </a:extLst>
        </xdr:cNvPr>
        <xdr:cNvPicPr>
          <a:picLocks noChangeAspect="1"/>
        </xdr:cNvPicPr>
      </xdr:nvPicPr>
      <xdr:blipFill>
        <a:blip xmlns:r="http://schemas.openxmlformats.org/officeDocument/2006/relationships" r:embed="rId5"/>
        <a:stretch>
          <a:fillRect/>
        </a:stretch>
      </xdr:blipFill>
      <xdr:spPr>
        <a:xfrm>
          <a:off x="127000" y="9366250"/>
          <a:ext cx="7673135" cy="3511991"/>
        </a:xfrm>
        <a:prstGeom prst="rect">
          <a:avLst/>
        </a:prstGeom>
      </xdr:spPr>
    </xdr:pic>
    <xdr:clientData/>
  </xdr:twoCellAnchor>
  <xdr:twoCellAnchor editAs="oneCell">
    <xdr:from>
      <xdr:col>0</xdr:col>
      <xdr:colOff>762000</xdr:colOff>
      <xdr:row>73</xdr:row>
      <xdr:rowOff>82550</xdr:rowOff>
    </xdr:from>
    <xdr:to>
      <xdr:col>4</xdr:col>
      <xdr:colOff>603250</xdr:colOff>
      <xdr:row>82</xdr:row>
      <xdr:rowOff>21299</xdr:rowOff>
    </xdr:to>
    <xdr:pic>
      <xdr:nvPicPr>
        <xdr:cNvPr id="13" name="Image 12">
          <a:extLst>
            <a:ext uri="{FF2B5EF4-FFF2-40B4-BE49-F238E27FC236}">
              <a16:creationId xmlns:a16="http://schemas.microsoft.com/office/drawing/2014/main" id="{A68C22E5-E633-4C31-995C-4FF821616F75}"/>
            </a:ext>
          </a:extLst>
        </xdr:cNvPr>
        <xdr:cNvPicPr>
          <a:picLocks noChangeAspect="1"/>
        </xdr:cNvPicPr>
      </xdr:nvPicPr>
      <xdr:blipFill>
        <a:blip xmlns:r="http://schemas.openxmlformats.org/officeDocument/2006/relationships" r:embed="rId6"/>
        <a:stretch>
          <a:fillRect/>
        </a:stretch>
      </xdr:blipFill>
      <xdr:spPr>
        <a:xfrm>
          <a:off x="762000" y="13084175"/>
          <a:ext cx="3016250" cy="15103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666749</xdr:colOff>
      <xdr:row>1</xdr:row>
      <xdr:rowOff>44450</xdr:rowOff>
    </xdr:from>
    <xdr:to>
      <xdr:col>17</xdr:col>
      <xdr:colOff>182496</xdr:colOff>
      <xdr:row>19</xdr:row>
      <xdr:rowOff>0</xdr:rowOff>
    </xdr:to>
    <xdr:pic>
      <xdr:nvPicPr>
        <xdr:cNvPr id="12" name="Image 11">
          <a:extLst>
            <a:ext uri="{FF2B5EF4-FFF2-40B4-BE49-F238E27FC236}">
              <a16:creationId xmlns:a16="http://schemas.microsoft.com/office/drawing/2014/main" id="{7B262EF1-176E-4815-93DF-44B5EE782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49" y="219075"/>
          <a:ext cx="12596747" cy="317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47624</xdr:colOff>
      <xdr:row>0</xdr:row>
      <xdr:rowOff>180975</xdr:rowOff>
    </xdr:from>
    <xdr:to>
      <xdr:col>9</xdr:col>
      <xdr:colOff>95250</xdr:colOff>
      <xdr:row>4</xdr:row>
      <xdr:rowOff>174625</xdr:rowOff>
    </xdr:to>
    <xdr:pic>
      <xdr:nvPicPr>
        <xdr:cNvPr id="3" name="Image 2">
          <a:extLst>
            <a:ext uri="{FF2B5EF4-FFF2-40B4-BE49-F238E27FC236}">
              <a16:creationId xmlns:a16="http://schemas.microsoft.com/office/drawing/2014/main" id="{15A4291B-01DE-4E4B-B858-833F94BC8F87}"/>
            </a:ext>
          </a:extLst>
        </xdr:cNvPr>
        <xdr:cNvPicPr>
          <a:picLocks noChangeAspect="1"/>
        </xdr:cNvPicPr>
      </xdr:nvPicPr>
      <xdr:blipFill>
        <a:blip xmlns:r="http://schemas.openxmlformats.org/officeDocument/2006/relationships" r:embed="rId2"/>
        <a:stretch>
          <a:fillRect/>
        </a:stretch>
      </xdr:blipFill>
      <xdr:spPr>
        <a:xfrm>
          <a:off x="3222624" y="180975"/>
          <a:ext cx="3571876" cy="755650"/>
        </a:xfrm>
        <a:prstGeom prst="rect">
          <a:avLst/>
        </a:prstGeom>
      </xdr:spPr>
    </xdr:pic>
    <xdr:clientData/>
  </xdr:twoCellAnchor>
  <xdr:twoCellAnchor editAs="oneCell">
    <xdr:from>
      <xdr:col>1</xdr:col>
      <xdr:colOff>266700</xdr:colOff>
      <xdr:row>20</xdr:row>
      <xdr:rowOff>152400</xdr:rowOff>
    </xdr:from>
    <xdr:to>
      <xdr:col>12</xdr:col>
      <xdr:colOff>342900</xdr:colOff>
      <xdr:row>59</xdr:row>
      <xdr:rowOff>142346</xdr:rowOff>
    </xdr:to>
    <xdr:pic>
      <xdr:nvPicPr>
        <xdr:cNvPr id="13" name="Image 12">
          <a:extLst>
            <a:ext uri="{FF2B5EF4-FFF2-40B4-BE49-F238E27FC236}">
              <a16:creationId xmlns:a16="http://schemas.microsoft.com/office/drawing/2014/main" id="{1D984CD7-155B-49A1-96E9-1A8DCF6CBAA6}"/>
            </a:ext>
          </a:extLst>
        </xdr:cNvPr>
        <xdr:cNvPicPr>
          <a:picLocks noChangeAspect="1"/>
        </xdr:cNvPicPr>
      </xdr:nvPicPr>
      <xdr:blipFill>
        <a:blip xmlns:r="http://schemas.openxmlformats.org/officeDocument/2006/relationships" r:embed="rId3"/>
        <a:stretch>
          <a:fillRect/>
        </a:stretch>
      </xdr:blipFill>
      <xdr:spPr>
        <a:xfrm>
          <a:off x="1066800" y="4038600"/>
          <a:ext cx="8458200" cy="7533746"/>
        </a:xfrm>
        <a:prstGeom prst="rect">
          <a:avLst/>
        </a:prstGeom>
      </xdr:spPr>
    </xdr:pic>
    <xdr:clientData/>
  </xdr:twoCellAnchor>
  <xdr:twoCellAnchor>
    <xdr:from>
      <xdr:col>1</xdr:col>
      <xdr:colOff>762000</xdr:colOff>
      <xdr:row>21</xdr:row>
      <xdr:rowOff>38100</xdr:rowOff>
    </xdr:from>
    <xdr:to>
      <xdr:col>10</xdr:col>
      <xdr:colOff>285750</xdr:colOff>
      <xdr:row>26</xdr:row>
      <xdr:rowOff>95250</xdr:rowOff>
    </xdr:to>
    <xdr:sp macro="" textlink="">
      <xdr:nvSpPr>
        <xdr:cNvPr id="2" name="ZoneTexte 1">
          <a:extLst>
            <a:ext uri="{FF2B5EF4-FFF2-40B4-BE49-F238E27FC236}">
              <a16:creationId xmlns:a16="http://schemas.microsoft.com/office/drawing/2014/main" id="{F6C697F2-0B4D-4010-B385-91B96B13B106}"/>
            </a:ext>
          </a:extLst>
        </xdr:cNvPr>
        <xdr:cNvSpPr txBox="1"/>
      </xdr:nvSpPr>
      <xdr:spPr>
        <a:xfrm>
          <a:off x="1562100" y="4114800"/>
          <a:ext cx="630555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2000" b="1">
              <a:solidFill>
                <a:srgbClr val="0070C0"/>
              </a:solidFill>
            </a:rPr>
            <a:t>I&amp;C </a:t>
          </a:r>
          <a:r>
            <a:rPr lang="fr-FR" sz="2000" b="1"/>
            <a:t>Gross Annual PAy Spaces 2022 SEI SEF K€</a:t>
          </a:r>
        </a:p>
        <a:p>
          <a:pPr algn="ctr"/>
          <a:r>
            <a:rPr lang="fr-FR" sz="1800"/>
            <a:t>Gross Basic Monthly Pay x12 + Target STIP or SIP</a:t>
          </a:r>
        </a:p>
        <a:p>
          <a:pPr algn="ctr"/>
          <a:r>
            <a:rPr lang="fr-FR" sz="1800"/>
            <a:t>NP : PAy for grad 11, 12 o 13 have not been communicated</a:t>
          </a:r>
        </a:p>
      </xdr:txBody>
    </xdr:sp>
    <xdr:clientData/>
  </xdr:twoCellAnchor>
  <xdr:twoCellAnchor editAs="oneCell">
    <xdr:from>
      <xdr:col>1</xdr:col>
      <xdr:colOff>363682</xdr:colOff>
      <xdr:row>59</xdr:row>
      <xdr:rowOff>121227</xdr:rowOff>
    </xdr:from>
    <xdr:to>
      <xdr:col>12</xdr:col>
      <xdr:colOff>189909</xdr:colOff>
      <xdr:row>84</xdr:row>
      <xdr:rowOff>148389</xdr:rowOff>
    </xdr:to>
    <xdr:pic>
      <xdr:nvPicPr>
        <xdr:cNvPr id="4" name="Image 3">
          <a:extLst>
            <a:ext uri="{FF2B5EF4-FFF2-40B4-BE49-F238E27FC236}">
              <a16:creationId xmlns:a16="http://schemas.microsoft.com/office/drawing/2014/main" id="{0F86DAE5-968F-46FA-B739-61E0072C3B38}"/>
            </a:ext>
          </a:extLst>
        </xdr:cNvPr>
        <xdr:cNvPicPr>
          <a:picLocks noChangeAspect="1"/>
        </xdr:cNvPicPr>
      </xdr:nvPicPr>
      <xdr:blipFill>
        <a:blip xmlns:r="http://schemas.openxmlformats.org/officeDocument/2006/relationships" r:embed="rId4"/>
        <a:stretch>
          <a:fillRect/>
        </a:stretch>
      </xdr:blipFill>
      <xdr:spPr>
        <a:xfrm>
          <a:off x="1160318" y="10633363"/>
          <a:ext cx="8173591" cy="4356708"/>
        </a:xfrm>
        <a:prstGeom prst="rect">
          <a:avLst/>
        </a:prstGeom>
      </xdr:spPr>
    </xdr:pic>
    <xdr:clientData/>
  </xdr:twoCellAnchor>
  <xdr:twoCellAnchor editAs="oneCell">
    <xdr:from>
      <xdr:col>6</xdr:col>
      <xdr:colOff>658091</xdr:colOff>
      <xdr:row>87</xdr:row>
      <xdr:rowOff>138546</xdr:rowOff>
    </xdr:from>
    <xdr:to>
      <xdr:col>11</xdr:col>
      <xdr:colOff>728189</xdr:colOff>
      <xdr:row>98</xdr:row>
      <xdr:rowOff>164216</xdr:rowOff>
    </xdr:to>
    <xdr:pic>
      <xdr:nvPicPr>
        <xdr:cNvPr id="5" name="Image 4">
          <a:extLst>
            <a:ext uri="{FF2B5EF4-FFF2-40B4-BE49-F238E27FC236}">
              <a16:creationId xmlns:a16="http://schemas.microsoft.com/office/drawing/2014/main" id="{5C2C9883-11CD-4340-B38A-B339957EDF3F}"/>
            </a:ext>
          </a:extLst>
        </xdr:cNvPr>
        <xdr:cNvPicPr>
          <a:picLocks noChangeAspect="1"/>
        </xdr:cNvPicPr>
      </xdr:nvPicPr>
      <xdr:blipFill>
        <a:blip xmlns:r="http://schemas.openxmlformats.org/officeDocument/2006/relationships" r:embed="rId5"/>
        <a:stretch>
          <a:fillRect/>
        </a:stretch>
      </xdr:blipFill>
      <xdr:spPr>
        <a:xfrm>
          <a:off x="5230091" y="15499773"/>
          <a:ext cx="3845462" cy="193067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S53"/>
  <sheetViews>
    <sheetView showGridLines="0" tabSelected="1" zoomScale="80" zoomScaleNormal="80" workbookViewId="0">
      <pane xSplit="3" ySplit="4" topLeftCell="D5" activePane="bottomRight" state="frozen"/>
      <selection pane="topRight" activeCell="D1" sqref="D1"/>
      <selection pane="bottomLeft" activeCell="A2" sqref="A2"/>
      <selection pane="bottomRight" activeCell="E13" sqref="E13"/>
    </sheetView>
  </sheetViews>
  <sheetFormatPr baseColWidth="10" defaultColWidth="11.453125" defaultRowHeight="15.5" x14ac:dyDescent="0.35"/>
  <cols>
    <col min="1" max="1" width="11.453125" style="19"/>
    <col min="2" max="2" width="58.81640625" style="19" customWidth="1"/>
    <col min="3" max="3" width="0.1796875" style="19" customWidth="1"/>
    <col min="4" max="4" width="14.08984375" style="19" customWidth="1"/>
    <col min="5" max="5" width="13.1796875" style="19" customWidth="1"/>
    <col min="6" max="6" width="6.81640625" style="19" customWidth="1"/>
    <col min="7" max="13" width="11.453125" style="19"/>
    <col min="14" max="14" width="20.54296875" style="19" customWidth="1"/>
    <col min="15" max="15" width="11.453125" style="19"/>
    <col min="16" max="16" width="15.26953125" style="19" bestFit="1" customWidth="1"/>
    <col min="17" max="16384" width="11.453125" style="19"/>
  </cols>
  <sheetData>
    <row r="1" spans="1:19" x14ac:dyDescent="0.35">
      <c r="B1" s="145" t="s">
        <v>86</v>
      </c>
      <c r="D1" s="150" t="s">
        <v>88</v>
      </c>
      <c r="E1" s="150"/>
      <c r="F1" s="150"/>
      <c r="G1" s="150"/>
      <c r="H1" s="150"/>
      <c r="I1" s="146" t="s">
        <v>89</v>
      </c>
      <c r="J1" s="146"/>
      <c r="K1" s="146"/>
      <c r="L1" s="146"/>
      <c r="M1" s="146"/>
      <c r="N1" s="146"/>
    </row>
    <row r="2" spans="1:19" x14ac:dyDescent="0.35">
      <c r="B2" s="140" t="s">
        <v>87</v>
      </c>
      <c r="D2" s="150"/>
      <c r="E2" s="150"/>
      <c r="F2" s="150"/>
      <c r="G2" s="150"/>
      <c r="H2" s="150"/>
      <c r="I2" s="146"/>
      <c r="J2" s="146"/>
      <c r="K2" s="146"/>
      <c r="L2" s="146"/>
      <c r="M2" s="146"/>
      <c r="N2" s="146"/>
    </row>
    <row r="3" spans="1:19" ht="5.25" customHeight="1" x14ac:dyDescent="0.35">
      <c r="A3" s="77"/>
      <c r="B3" s="78"/>
      <c r="C3" s="77"/>
      <c r="D3" s="88"/>
      <c r="E3" s="77"/>
      <c r="F3" s="77"/>
      <c r="G3" s="77"/>
      <c r="H3" s="77"/>
      <c r="I3" s="77"/>
      <c r="J3" s="77"/>
      <c r="K3" s="77"/>
      <c r="L3" s="77"/>
      <c r="M3" s="77"/>
      <c r="N3" s="77"/>
      <c r="O3" s="77"/>
    </row>
    <row r="4" spans="1:19" x14ac:dyDescent="0.35">
      <c r="B4" s="19" t="s">
        <v>167</v>
      </c>
      <c r="E4" s="29" t="s">
        <v>90</v>
      </c>
      <c r="G4" s="30" t="s">
        <v>91</v>
      </c>
    </row>
    <row r="5" spans="1:19" x14ac:dyDescent="0.35">
      <c r="A5" s="31" t="s">
        <v>7</v>
      </c>
      <c r="B5" s="31"/>
      <c r="C5" s="31"/>
      <c r="D5" s="31"/>
      <c r="E5" s="32">
        <f ca="1">TODAY()</f>
        <v>44916</v>
      </c>
    </row>
    <row r="6" spans="1:19" x14ac:dyDescent="0.35">
      <c r="A6" s="31"/>
      <c r="B6" s="31"/>
      <c r="C6" s="31"/>
      <c r="D6" s="31"/>
      <c r="E6" s="66"/>
      <c r="G6" s="69" t="s">
        <v>163</v>
      </c>
    </row>
    <row r="7" spans="1:19" x14ac:dyDescent="0.35">
      <c r="A7" s="33" t="s">
        <v>95</v>
      </c>
      <c r="B7" s="33"/>
      <c r="C7" s="33"/>
      <c r="D7" s="33"/>
      <c r="E7" s="67"/>
      <c r="F7" s="34"/>
      <c r="G7" s="34"/>
      <c r="H7" s="34"/>
      <c r="I7" s="34"/>
      <c r="J7" s="34"/>
      <c r="K7" s="34"/>
      <c r="L7" s="34"/>
      <c r="M7" s="34"/>
      <c r="N7" s="34"/>
      <c r="O7" s="34"/>
    </row>
    <row r="8" spans="1:19" s="36" customFormat="1" x14ac:dyDescent="0.35">
      <c r="A8" s="31"/>
      <c r="B8" s="31"/>
      <c r="C8" s="31"/>
      <c r="D8" s="20" t="s">
        <v>92</v>
      </c>
      <c r="E8" s="35" t="s">
        <v>164</v>
      </c>
    </row>
    <row r="9" spans="1:19" s="36" customFormat="1" x14ac:dyDescent="0.35">
      <c r="A9" s="31"/>
      <c r="B9" s="31"/>
      <c r="C9" s="31"/>
      <c r="D9" s="20" t="s">
        <v>93</v>
      </c>
      <c r="E9" s="35" t="s">
        <v>165</v>
      </c>
    </row>
    <row r="10" spans="1:19" s="36" customFormat="1" x14ac:dyDescent="0.35">
      <c r="A10" s="31"/>
      <c r="B10" s="31"/>
      <c r="C10" s="31"/>
      <c r="D10" s="18" t="s">
        <v>94</v>
      </c>
      <c r="E10" s="63" t="s">
        <v>82</v>
      </c>
    </row>
    <row r="11" spans="1:19" x14ac:dyDescent="0.35">
      <c r="A11" s="19" t="s">
        <v>96</v>
      </c>
      <c r="E11" s="37" t="s">
        <v>4</v>
      </c>
      <c r="R11" s="38" t="s">
        <v>45</v>
      </c>
      <c r="S11" s="38"/>
    </row>
    <row r="12" spans="1:19" x14ac:dyDescent="0.35">
      <c r="A12" s="19" t="s">
        <v>97</v>
      </c>
      <c r="D12" s="38" t="str">
        <f>G12</f>
        <v/>
      </c>
      <c r="E12" s="29">
        <v>9</v>
      </c>
      <c r="F12" s="39">
        <f>IF(G12="",1,0)</f>
        <v>1</v>
      </c>
      <c r="G12" s="148" t="str">
        <f>IF(AND((E11="IC"),(OR((E12&lt;4),(E12&gt;13)))),"Vous n'avez pas tapé un Grade valide",(IF(AND(OR((E11="ouvrier"),(E11="ATAM")),(OR((E12&lt;6),(E12&gt;18)))),"Vous n'avez pas tapé un Groupe de poste valide",(IF(AND((E11="IC"),(AND((E12&lt;14),(E12&gt;10)))),"La direction ne nous fournit pas les éléments au dessus du grade 10","")))))</f>
        <v/>
      </c>
      <c r="H12" s="148"/>
      <c r="I12" s="148"/>
      <c r="J12" s="148"/>
      <c r="K12" s="148"/>
      <c r="L12" s="148"/>
      <c r="R12" s="38" t="s">
        <v>46</v>
      </c>
      <c r="S12" s="38"/>
    </row>
    <row r="13" spans="1:19" x14ac:dyDescent="0.35">
      <c r="B13" s="19" t="s">
        <v>99</v>
      </c>
      <c r="D13" s="40" t="str">
        <f>G13</f>
        <v/>
      </c>
      <c r="E13" s="37">
        <v>225</v>
      </c>
      <c r="F13" s="39">
        <f>IF(G13="",1,0)</f>
        <v>1</v>
      </c>
      <c r="G13" s="147" t="str">
        <f>IF(AND((E11="IC"),(AND((E13&lt;400),(E13&gt;150)))),"Vous n'avez pas tapé une classification IC",(IF(OR(AND((E13&lt;400),(E13&gt;150)),(E11="IC")),"","Vous n'avez pas tapé un coefficient OATAM")))</f>
        <v/>
      </c>
      <c r="H13" s="147"/>
      <c r="I13" s="147"/>
      <c r="J13" s="147"/>
      <c r="R13" s="38" t="s">
        <v>47</v>
      </c>
      <c r="S13" s="38"/>
    </row>
    <row r="14" spans="1:19" ht="26" x14ac:dyDescent="0.35">
      <c r="B14" s="19" t="s">
        <v>100</v>
      </c>
      <c r="E14" s="29">
        <v>2300</v>
      </c>
      <c r="K14" s="81"/>
      <c r="R14" s="38" t="s">
        <v>48</v>
      </c>
      <c r="S14" s="38"/>
    </row>
    <row r="15" spans="1:19" ht="23.25" customHeight="1" x14ac:dyDescent="0.35">
      <c r="B15" s="141" t="s">
        <v>101</v>
      </c>
      <c r="C15" s="36"/>
      <c r="D15" s="36"/>
      <c r="E15" s="64"/>
      <c r="J15" s="149" t="s">
        <v>49</v>
      </c>
      <c r="K15" s="149"/>
      <c r="L15" s="149"/>
      <c r="M15" s="149"/>
      <c r="N15" s="81"/>
      <c r="R15" s="38">
        <v>1</v>
      </c>
      <c r="S15" s="38"/>
    </row>
    <row r="16" spans="1:19" ht="15.75" customHeight="1" x14ac:dyDescent="0.35">
      <c r="B16" s="19" t="s">
        <v>102</v>
      </c>
      <c r="E16" s="41">
        <v>0</v>
      </c>
      <c r="J16" s="81"/>
      <c r="K16" s="81"/>
      <c r="L16" s="81"/>
      <c r="M16" s="81"/>
      <c r="N16" s="81"/>
      <c r="R16" s="38">
        <v>2</v>
      </c>
      <c r="S16" s="38"/>
    </row>
    <row r="17" spans="1:19" ht="15.75" customHeight="1" x14ac:dyDescent="0.35">
      <c r="A17" s="19" t="s">
        <v>98</v>
      </c>
      <c r="E17" s="29">
        <v>7</v>
      </c>
      <c r="J17" s="149" t="s">
        <v>162</v>
      </c>
      <c r="K17" s="149"/>
      <c r="L17" s="149"/>
      <c r="M17" s="149"/>
      <c r="N17" s="149"/>
      <c r="R17" s="38">
        <v>3</v>
      </c>
      <c r="S17" s="38"/>
    </row>
    <row r="18" spans="1:19" ht="15" customHeight="1" x14ac:dyDescent="0.4">
      <c r="E18" s="65"/>
      <c r="J18" s="149"/>
      <c r="K18" s="149"/>
      <c r="L18" s="149"/>
      <c r="M18" s="149"/>
      <c r="N18" s="149"/>
      <c r="O18" s="82"/>
      <c r="P18" s="82"/>
      <c r="Q18" s="82"/>
      <c r="R18" s="82"/>
      <c r="S18" s="38"/>
    </row>
    <row r="19" spans="1:19" ht="15.75" customHeight="1" x14ac:dyDescent="0.4">
      <c r="A19" s="19" t="str">
        <f ca="1">IF(D19&lt;&gt;"",CONCATENATE("Performance Evaluation received in ",D19," at the annual review for ",D19-1),"")</f>
        <v>Performance Evaluation received in 2022 at the annual review for 2021</v>
      </c>
      <c r="D19" s="42">
        <f ca="1">YEAR(E5)</f>
        <v>2022</v>
      </c>
      <c r="E19" s="29" t="s">
        <v>104</v>
      </c>
      <c r="K19" s="82"/>
      <c r="L19" s="82"/>
      <c r="M19" s="82"/>
      <c r="N19" s="82"/>
      <c r="O19" s="82"/>
      <c r="P19" s="82"/>
      <c r="Q19" s="82"/>
      <c r="R19" s="82"/>
      <c r="S19" s="38"/>
    </row>
    <row r="20" spans="1:19" s="36" customFormat="1" x14ac:dyDescent="0.35">
      <c r="A20" s="31"/>
      <c r="E20" s="64"/>
    </row>
    <row r="21" spans="1:19" s="36" customFormat="1" x14ac:dyDescent="0.35">
      <c r="A21" s="31"/>
      <c r="E21" s="64"/>
    </row>
    <row r="22" spans="1:19" s="36" customFormat="1" x14ac:dyDescent="0.35">
      <c r="A22" s="31"/>
      <c r="E22" s="64"/>
    </row>
    <row r="23" spans="1:19" x14ac:dyDescent="0.35">
      <c r="A23" s="33" t="s">
        <v>108</v>
      </c>
      <c r="B23" s="34"/>
      <c r="C23" s="34"/>
      <c r="D23" s="34"/>
      <c r="E23" s="68"/>
      <c r="F23" s="34"/>
      <c r="G23" s="34"/>
      <c r="H23" s="34"/>
      <c r="I23" s="34"/>
      <c r="J23" s="34"/>
      <c r="K23" s="34"/>
      <c r="L23" s="34"/>
      <c r="M23" s="34"/>
      <c r="N23" s="34"/>
      <c r="O23" s="34"/>
    </row>
    <row r="24" spans="1:19" x14ac:dyDescent="0.35">
      <c r="D24" s="19" t="s">
        <v>166</v>
      </c>
      <c r="F24" s="43" t="str">
        <f>IF(E19&lt;&gt;0,E19,"")</f>
        <v>Performer</v>
      </c>
      <c r="G24" s="43"/>
    </row>
    <row r="25" spans="1:19" x14ac:dyDescent="0.35">
      <c r="D25" s="44" t="str">
        <f>IF(E17&lt;=2,"you are in induction level, novice, acquiring skills",IF(E17&lt;=5,IF(AND((E19&lt;&gt;"Low Performer"),E19&lt;&gt;2,E19&lt;&gt;1),"you seem to be in proficiency (autonomy) level, subject to generally positive evaluations on the duration of the position","you do not seem to meet all the criteria for mastering the position"),IF((E19&lt;&gt;"Low Performer"),"At least, you seem to master your position and close to be a specialist","you do not seem to meet all the criteria for mastering the position")))</f>
        <v>At least, you seem to master your position and close to be a specialist</v>
      </c>
      <c r="E25" s="30"/>
      <c r="F25" s="30"/>
      <c r="G25" s="30"/>
      <c r="H25" s="30"/>
      <c r="I25" s="30"/>
      <c r="J25" s="30"/>
      <c r="K25" s="30"/>
      <c r="L25" s="30"/>
      <c r="M25" s="30"/>
      <c r="N25" s="30"/>
      <c r="O25" s="30"/>
    </row>
    <row r="27" spans="1:19" x14ac:dyDescent="0.35">
      <c r="B27" s="19" t="s">
        <v>109</v>
      </c>
      <c r="E27" s="45">
        <f>IF(OR(E11="worker",E11="Atam"),VLOOKUP(E12,Données!G25:H37,2,FALSE),VLOOKUP(E12,Données!G38:H42,2,TRUE))</f>
        <v>190</v>
      </c>
      <c r="G27" s="1" t="str">
        <f>IF(OR(D25="you are in induction level, novice, acquiring skills",D25="you do not seem to meet all the criteria for mastering the position"),"",IF(AND(OR(E11="Worker",E11="ATAM"),E27&gt;E13),"you can discuss the upgrade of your qualification level with your manager and the HR function",IF(E27&lt;E13,"your qualification level is already above that corresponding to the mastery of your job",IF(E27=E13,"your qualification is in line with the mastery of your job","you can discuss the upgrade of your qualification level with your manager and the HR function"))))</f>
        <v>your qualification level is already above that corresponding to the mastery of your job</v>
      </c>
    </row>
    <row r="29" spans="1:19" x14ac:dyDescent="0.35">
      <c r="B29" s="21" t="s">
        <v>110</v>
      </c>
      <c r="C29" s="20"/>
      <c r="D29" s="20"/>
      <c r="E29" s="62">
        <f>ROUND((E14*12*(1+E16))/1000,1)</f>
        <v>27.6</v>
      </c>
      <c r="F29" s="20" t="s">
        <v>32</v>
      </c>
    </row>
    <row r="30" spans="1:19" ht="16" thickBot="1" x14ac:dyDescent="0.4"/>
    <row r="31" spans="1:19" x14ac:dyDescent="0.35">
      <c r="A31" s="46" t="s">
        <v>111</v>
      </c>
      <c r="B31" s="47"/>
      <c r="C31" s="47"/>
      <c r="D31" s="47"/>
      <c r="E31" s="47"/>
      <c r="F31" s="47"/>
      <c r="G31" s="47"/>
      <c r="H31" s="47"/>
      <c r="I31" s="47"/>
      <c r="J31" s="47"/>
      <c r="K31" s="47"/>
      <c r="L31" s="47"/>
      <c r="M31" s="47"/>
      <c r="N31" s="47"/>
      <c r="O31" s="48"/>
    </row>
    <row r="32" spans="1:19" x14ac:dyDescent="0.35">
      <c r="A32" s="49"/>
      <c r="B32" s="19" t="s">
        <v>112</v>
      </c>
      <c r="C32" s="2"/>
      <c r="D32" s="2"/>
      <c r="E32" s="50">
        <f>IF(OR(E11="ouvrier",E11="Atam"),VLOOKUP(E12,Données!M25:N37,2,FALSE),VLOOKUP(E12,Données!M40:N49,2,FALSE))</f>
        <v>27.1</v>
      </c>
      <c r="F32" s="2" t="s">
        <v>120</v>
      </c>
      <c r="G32" s="2"/>
      <c r="H32" s="2"/>
      <c r="I32" s="2"/>
      <c r="J32" s="2"/>
      <c r="K32" s="2"/>
      <c r="L32" s="2"/>
      <c r="M32" s="2"/>
      <c r="N32" s="2"/>
      <c r="O32" s="51"/>
    </row>
    <row r="33" spans="1:15" x14ac:dyDescent="0.35">
      <c r="A33" s="49"/>
      <c r="C33" s="2"/>
      <c r="D33" s="2"/>
      <c r="E33" s="2"/>
      <c r="F33" s="2"/>
      <c r="G33" s="2"/>
      <c r="H33" s="2"/>
      <c r="I33" s="2"/>
      <c r="J33" s="2"/>
      <c r="K33" s="2"/>
      <c r="L33" s="2"/>
      <c r="M33" s="2"/>
      <c r="N33" s="2"/>
      <c r="O33" s="51"/>
    </row>
    <row r="34" spans="1:15" x14ac:dyDescent="0.35">
      <c r="A34" s="49"/>
      <c r="B34" s="19" t="s">
        <v>113</v>
      </c>
      <c r="C34" s="2"/>
      <c r="D34" s="2"/>
      <c r="E34" s="52">
        <f>-ROUND((E32-E29)/E32,3)</f>
        <v>1.7999999999999999E-2</v>
      </c>
      <c r="F34" s="2"/>
      <c r="G34" s="2" t="str">
        <f>IF(E34&lt;-0.1,"the difference ("&amp;ROUND(E34*100,1)&amp;"%) between your Pay and the Market Pay for your Job justifies a pay rise",IF(E34&lt;0,"Your Pay is lower than the Market Pay for your Job."&amp;ROUND(E34*100,1)&amp;"%","Your Pay is higher than the Market Pay for your Job"))</f>
        <v>Your Pay is higher than the Market Pay for your Job</v>
      </c>
      <c r="H34" s="2"/>
      <c r="I34" s="2"/>
      <c r="J34" s="2"/>
      <c r="K34" s="2"/>
      <c r="L34" s="2"/>
      <c r="M34" s="2"/>
      <c r="N34" s="2"/>
      <c r="O34" s="51"/>
    </row>
    <row r="35" spans="1:15" ht="16" thickBot="1" x14ac:dyDescent="0.4">
      <c r="A35" s="53"/>
      <c r="B35" s="54" t="s">
        <v>114</v>
      </c>
      <c r="C35" s="54"/>
      <c r="D35" s="54"/>
      <c r="E35" s="55">
        <f>ROUND(1+E34,2)</f>
        <v>1.02</v>
      </c>
      <c r="F35" s="56"/>
      <c r="G35" s="57" t="s">
        <v>121</v>
      </c>
      <c r="H35" s="56"/>
      <c r="I35" s="56"/>
      <c r="J35" s="56"/>
      <c r="K35" s="56"/>
      <c r="L35" s="56"/>
      <c r="M35" s="56"/>
      <c r="N35" s="56"/>
      <c r="O35" s="58"/>
    </row>
    <row r="36" spans="1:15" ht="16" thickBot="1" x14ac:dyDescent="0.4"/>
    <row r="37" spans="1:15" x14ac:dyDescent="0.35">
      <c r="A37" s="46" t="s">
        <v>119</v>
      </c>
      <c r="B37" s="47"/>
      <c r="C37" s="47"/>
      <c r="D37" s="47"/>
      <c r="E37" s="47"/>
      <c r="F37" s="47"/>
      <c r="G37" s="47"/>
      <c r="H37" s="47"/>
      <c r="I37" s="47"/>
      <c r="J37" s="47"/>
      <c r="K37" s="47"/>
      <c r="L37" s="47"/>
      <c r="M37" s="47"/>
      <c r="N37" s="47"/>
      <c r="O37" s="48"/>
    </row>
    <row r="38" spans="1:15" x14ac:dyDescent="0.35">
      <c r="A38" s="49"/>
      <c r="B38" s="19" t="s">
        <v>115</v>
      </c>
      <c r="C38" s="2"/>
      <c r="D38" s="2"/>
      <c r="E38" s="76">
        <f>IF(E11="Ouvrier",VLOOKUP(E13,Données!I58:K76,2,FALSE),(IF(E11="ATAM",VLOOKUP(E13,Données!I58:K76,3,FALSE),(IF(E11="IC",VLOOKUP(E13,Données!I58:K76,2,FALSE),FALSE)))))</f>
        <v>2567</v>
      </c>
      <c r="F38" s="2" t="s">
        <v>65</v>
      </c>
      <c r="G38" s="2"/>
      <c r="H38" s="2"/>
      <c r="I38" s="2"/>
      <c r="J38" s="2"/>
      <c r="K38" s="2"/>
      <c r="L38" s="2"/>
      <c r="M38" s="2"/>
      <c r="N38" s="2"/>
      <c r="O38" s="51"/>
    </row>
    <row r="39" spans="1:15" x14ac:dyDescent="0.35">
      <c r="A39" s="49"/>
      <c r="B39" s="19" t="s">
        <v>116</v>
      </c>
      <c r="C39" s="2"/>
      <c r="D39" s="2"/>
      <c r="E39" s="52">
        <f>IF(E11="IC",VLOOKUP(E13,Données!I58:K76,3,),0)</f>
        <v>0</v>
      </c>
      <c r="F39" s="2"/>
      <c r="G39" s="2"/>
      <c r="H39" s="2"/>
      <c r="I39" s="2"/>
      <c r="J39" s="2"/>
      <c r="K39" s="2"/>
      <c r="L39" s="2"/>
      <c r="M39" s="2"/>
      <c r="N39" s="2"/>
      <c r="O39" s="51"/>
    </row>
    <row r="40" spans="1:15" x14ac:dyDescent="0.35">
      <c r="A40" s="49"/>
      <c r="B40" s="19" t="s">
        <v>117</v>
      </c>
      <c r="C40" s="2"/>
      <c r="D40" s="2"/>
      <c r="E40" s="59">
        <f>E38*12*(1+E39)/1000</f>
        <v>30.803999999999998</v>
      </c>
      <c r="F40" s="2" t="s">
        <v>68</v>
      </c>
      <c r="G40" s="2"/>
      <c r="H40" s="2"/>
      <c r="I40" s="2"/>
      <c r="J40" s="2"/>
      <c r="K40" s="2"/>
      <c r="L40" s="2"/>
      <c r="M40" s="2"/>
      <c r="N40" s="2"/>
      <c r="O40" s="51"/>
    </row>
    <row r="41" spans="1:15" x14ac:dyDescent="0.35">
      <c r="A41" s="49"/>
      <c r="C41" s="2"/>
      <c r="D41" s="2"/>
      <c r="E41" s="2"/>
      <c r="F41" s="2"/>
      <c r="G41" s="2"/>
      <c r="H41" s="2"/>
      <c r="I41" s="2"/>
      <c r="J41" s="2"/>
      <c r="K41" s="2"/>
      <c r="L41" s="2"/>
      <c r="M41" s="2"/>
      <c r="N41" s="2"/>
      <c r="O41" s="51"/>
    </row>
    <row r="42" spans="1:15" ht="16" thickBot="1" x14ac:dyDescent="0.4">
      <c r="A42" s="53"/>
      <c r="B42" s="56" t="s">
        <v>118</v>
      </c>
      <c r="C42" s="56"/>
      <c r="D42" s="56"/>
      <c r="E42" s="60">
        <f>ROUND(E29/E40-1,3)</f>
        <v>-0.104</v>
      </c>
      <c r="F42" s="56"/>
      <c r="G42" s="56" t="str">
        <f>IF(E42&lt;0,"Your pay is lower than the average pay of SEI-SEF employees with the same qualification"&amp;ROUND(E42*100,1)&amp;"%","Your pay is upper than the average pay of SEI-SEF employees with the same qualification")</f>
        <v>Your pay is lower than the average pay of SEI-SEF employees with the same qualification-10,4%</v>
      </c>
      <c r="H42" s="56"/>
      <c r="I42" s="56"/>
      <c r="J42" s="56"/>
      <c r="K42" s="56"/>
      <c r="L42" s="56"/>
      <c r="M42" s="56"/>
      <c r="N42" s="56"/>
      <c r="O42" s="58"/>
    </row>
    <row r="49" spans="11:11" x14ac:dyDescent="0.35">
      <c r="K49" s="61"/>
    </row>
    <row r="50" spans="11:11" x14ac:dyDescent="0.35">
      <c r="K50" s="61"/>
    </row>
    <row r="51" spans="11:11" x14ac:dyDescent="0.35">
      <c r="K51" s="61"/>
    </row>
    <row r="52" spans="11:11" x14ac:dyDescent="0.35">
      <c r="K52" s="61"/>
    </row>
    <row r="53" spans="11:11" x14ac:dyDescent="0.35">
      <c r="K53" s="61"/>
    </row>
  </sheetData>
  <sheetProtection algorithmName="SHA-512" hashValue="uznOz9DmxOfDZNgyP5PQX++/5lYN4h4BHwyDy8AoCZqKzMZEF7zhr3WmgZqPAtPOHWT0A1XZwYNKVmT9FMtzAA==" saltValue="rKTyzykwhynWFqt34fO1Zg==" spinCount="100000" sheet="1" selectLockedCells="1"/>
  <mergeCells count="6">
    <mergeCell ref="I1:N2"/>
    <mergeCell ref="G13:J13"/>
    <mergeCell ref="G12:L12"/>
    <mergeCell ref="J15:M15"/>
    <mergeCell ref="J17:N18"/>
    <mergeCell ref="D1:H2"/>
  </mergeCells>
  <conditionalFormatting sqref="E42 E34">
    <cfRule type="cellIs" dxfId="13" priority="23" operator="lessThan">
      <formula>0</formula>
    </cfRule>
  </conditionalFormatting>
  <conditionalFormatting sqref="G34">
    <cfRule type="expression" dxfId="12" priority="2">
      <formula>$E$34&lt;-0.1</formula>
    </cfRule>
    <cfRule type="expression" dxfId="11" priority="18">
      <formula>E34&gt;0</formula>
    </cfRule>
    <cfRule type="expression" dxfId="10" priority="20">
      <formula>$E$34&lt;0</formula>
    </cfRule>
  </conditionalFormatting>
  <conditionalFormatting sqref="G42">
    <cfRule type="expression" dxfId="9" priority="14">
      <formula>E42&gt;0</formula>
    </cfRule>
    <cfRule type="expression" dxfId="8" priority="15">
      <formula>$E$42&lt;0</formula>
    </cfRule>
  </conditionalFormatting>
  <conditionalFormatting sqref="G12">
    <cfRule type="containsText" dxfId="7" priority="11" operator="containsText" text="valide">
      <formula>NOT(ISERROR(SEARCH("valide",G12)))</formula>
    </cfRule>
  </conditionalFormatting>
  <conditionalFormatting sqref="D12">
    <cfRule type="notContainsBlanks" dxfId="6" priority="9">
      <formula>LEN(TRIM(D12))&gt;0</formula>
    </cfRule>
  </conditionalFormatting>
  <conditionalFormatting sqref="F12">
    <cfRule type="iconSet" priority="7">
      <iconSet iconSet="3Symbols2">
        <cfvo type="percent" val="0"/>
        <cfvo type="num" val="0.5"/>
        <cfvo type="num" val="1"/>
      </iconSet>
    </cfRule>
  </conditionalFormatting>
  <conditionalFormatting sqref="F13">
    <cfRule type="iconSet" priority="6">
      <iconSet iconSet="3Symbols2">
        <cfvo type="percent" val="0"/>
        <cfvo type="num" val="0.5"/>
        <cfvo type="num" val="1"/>
      </iconSet>
    </cfRule>
  </conditionalFormatting>
  <conditionalFormatting sqref="G13">
    <cfRule type="containsText" dxfId="5" priority="4" operator="containsText" text="Vous">
      <formula>NOT(ISERROR(SEARCH("Vous",G13)))</formula>
    </cfRule>
  </conditionalFormatting>
  <conditionalFormatting sqref="D13">
    <cfRule type="containsText" dxfId="4" priority="3" operator="containsText" text="Vous">
      <formula>NOT(ISERROR(SEARCH("Vous",D13)))</formula>
    </cfRule>
  </conditionalFormatting>
  <dataValidations xWindow="1277" yWindow="586" count="5">
    <dataValidation type="whole" allowBlank="1" showInputMessage="1" showErrorMessage="1" sqref="E17" xr:uid="{00000000-0002-0000-0000-000000000000}">
      <formula1>0</formula1>
      <formula2>45</formula2>
    </dataValidation>
    <dataValidation type="whole" allowBlank="1" showInputMessage="1" showErrorMessage="1" prompt="entrer le groupe de poste entre 6 et 18 pour les OATAM et entre 4 et 10 pour les IC" sqref="E12" xr:uid="{00000000-0002-0000-0000-000001000000}">
      <formula1>4</formula1>
      <formula2>18</formula2>
    </dataValidation>
    <dataValidation type="date" allowBlank="1" showInputMessage="1" showErrorMessage="1" prompt="entrer une date au format jj/mm/aaaa" sqref="E5" xr:uid="{00000000-0002-0000-0000-000002000000}">
      <formula1>42370</formula1>
      <formula2>47484</formula2>
    </dataValidation>
    <dataValidation type="list" allowBlank="1" showInputMessage="1" showErrorMessage="1" sqref="M7:M10" xr:uid="{00000000-0002-0000-0000-000003000000}">
      <formula1>$R$11:$R$14</formula1>
    </dataValidation>
    <dataValidation type="whole" allowBlank="1" showInputMessage="1" showErrorMessage="1" sqref="E20:E23" xr:uid="{00000000-0002-0000-0000-000004000000}">
      <formula1>1</formula1>
      <formula2>5</formula2>
    </dataValidation>
  </dataValidations>
  <pageMargins left="0.11811023622047245" right="0.11811023622047245" top="0.35433070866141736" bottom="0" header="0" footer="0"/>
  <pageSetup scale="51" orientation="landscape" r:id="rId1"/>
  <headerFooter>
    <oddFooter>&amp;C&amp;1#&amp;"Arial"&amp;6&amp;K626469Internal</oddFooter>
  </headerFooter>
  <drawing r:id="rId2"/>
  <extLst>
    <ext xmlns:x14="http://schemas.microsoft.com/office/spreadsheetml/2009/9/main" uri="{CCE6A557-97BC-4b89-ADB6-D9C93CAAB3DF}">
      <x14:dataValidations xmlns:xm="http://schemas.microsoft.com/office/excel/2006/main" xWindow="1277" yWindow="586" count="3">
        <x14:dataValidation type="list" allowBlank="1" showInputMessage="1" showErrorMessage="1" prompt="OATAM : notez votre coefficient entre 155 et 395,_x000a_Ingénieur et cadre notez votre classification entre 1 et 3C_x000a_Choisissez dans la liste déroulante" xr:uid="{00000000-0002-0000-0000-000005000000}">
          <x14:formula1>
            <xm:f>Données!$H$25:$H$42</xm:f>
          </x14:formula1>
          <xm:sqref>E13</xm:sqref>
        </x14:dataValidation>
        <x14:dataValidation type="list" allowBlank="1" showInputMessage="1" showErrorMessage="1" xr:uid="{00000000-0002-0000-0000-000006000000}">
          <x14:formula1>
            <xm:f>Données!$J$4:$J$6</xm:f>
          </x14:formula1>
          <xm:sqref>E11</xm:sqref>
        </x14:dataValidation>
        <x14:dataValidation type="list" allowBlank="1" showInputMessage="1" showErrorMessage="1" xr:uid="{00000000-0002-0000-0000-000007000000}">
          <x14:formula1>
            <xm:f>Données!$I$10:$I$18</xm:f>
          </x14:formula1>
          <xm:sqref>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8"/>
  <sheetViews>
    <sheetView zoomScale="70" zoomScaleNormal="70" workbookViewId="0">
      <pane xSplit="3" ySplit="1" topLeftCell="D2" activePane="bottomRight" state="frozen"/>
      <selection pane="topRight" activeCell="D1" sqref="D1"/>
      <selection pane="bottomLeft" activeCell="A2" sqref="A2"/>
      <selection pane="bottomRight" sqref="A1:XFD1048576"/>
    </sheetView>
  </sheetViews>
  <sheetFormatPr baseColWidth="10" defaultColWidth="11.453125" defaultRowHeight="14.5" x14ac:dyDescent="0.35"/>
  <cols>
    <col min="1" max="1" width="11.453125" style="89"/>
    <col min="2" max="2" width="35.54296875" style="89" customWidth="1"/>
    <col min="3" max="13" width="11.453125" style="89"/>
    <col min="14" max="14" width="15.1796875" style="89" customWidth="1"/>
    <col min="15" max="16384" width="11.453125" style="89"/>
  </cols>
  <sheetData>
    <row r="1" spans="1:15" x14ac:dyDescent="0.35">
      <c r="B1" s="89" t="s">
        <v>27</v>
      </c>
      <c r="E1" s="89" t="s">
        <v>26</v>
      </c>
      <c r="I1" s="90" t="s">
        <v>80</v>
      </c>
      <c r="J1" s="91"/>
      <c r="K1" s="91"/>
      <c r="L1" s="91"/>
    </row>
    <row r="3" spans="1:15" x14ac:dyDescent="0.35">
      <c r="A3" s="89" t="s">
        <v>7</v>
      </c>
      <c r="E3" s="92">
        <v>42463</v>
      </c>
      <c r="N3" s="89">
        <f>0.4*140</f>
        <v>56</v>
      </c>
    </row>
    <row r="4" spans="1:15" x14ac:dyDescent="0.35">
      <c r="A4" s="89" t="s">
        <v>1</v>
      </c>
      <c r="E4" s="89" t="s">
        <v>4</v>
      </c>
      <c r="G4" s="89" t="s">
        <v>0</v>
      </c>
      <c r="J4" s="89" t="s">
        <v>3</v>
      </c>
      <c r="N4" s="89">
        <f>82.22*0.3</f>
        <v>24.666</v>
      </c>
    </row>
    <row r="5" spans="1:15" x14ac:dyDescent="0.35">
      <c r="A5" s="89" t="s">
        <v>2</v>
      </c>
      <c r="E5" s="89">
        <v>8</v>
      </c>
      <c r="J5" s="89" t="s">
        <v>4</v>
      </c>
      <c r="N5" s="89">
        <v>42</v>
      </c>
    </row>
    <row r="6" spans="1:15" x14ac:dyDescent="0.35">
      <c r="J6" s="89" t="s">
        <v>103</v>
      </c>
      <c r="N6" s="89">
        <f>SUM(N3:N5)</f>
        <v>122.666</v>
      </c>
      <c r="O6" s="89">
        <f>66.66/60</f>
        <v>1.111</v>
      </c>
    </row>
    <row r="7" spans="1:15" x14ac:dyDescent="0.35">
      <c r="A7" s="89" t="s">
        <v>5</v>
      </c>
      <c r="E7" s="89">
        <v>6</v>
      </c>
      <c r="N7" s="89">
        <f>1.11*O6</f>
        <v>1.2332100000000001</v>
      </c>
    </row>
    <row r="9" spans="1:15" x14ac:dyDescent="0.35">
      <c r="A9" s="89" t="s">
        <v>6</v>
      </c>
      <c r="B9" s="89" t="s">
        <v>72</v>
      </c>
      <c r="D9" s="93">
        <f>YEAR(E3)</f>
        <v>2016</v>
      </c>
      <c r="E9" s="89">
        <v>2</v>
      </c>
      <c r="I9" s="89" t="s">
        <v>44</v>
      </c>
    </row>
    <row r="10" spans="1:15" x14ac:dyDescent="0.35">
      <c r="C10" s="89">
        <v>1</v>
      </c>
      <c r="D10" s="89">
        <f>IF($E$7&gt;C10,D9-1,"")</f>
        <v>2015</v>
      </c>
      <c r="E10" s="89">
        <v>3</v>
      </c>
      <c r="I10" s="89" t="s">
        <v>107</v>
      </c>
    </row>
    <row r="11" spans="1:15" x14ac:dyDescent="0.35">
      <c r="C11" s="89">
        <v>2</v>
      </c>
      <c r="D11" s="89">
        <f t="shared" ref="D11:D18" si="0">IF($E$7&gt;C11,D10-1,"")</f>
        <v>2014</v>
      </c>
      <c r="E11" s="89">
        <v>4</v>
      </c>
      <c r="I11" s="89" t="s">
        <v>104</v>
      </c>
    </row>
    <row r="12" spans="1:15" x14ac:dyDescent="0.35">
      <c r="C12" s="89">
        <v>3</v>
      </c>
      <c r="D12" s="89">
        <f t="shared" si="0"/>
        <v>2013</v>
      </c>
      <c r="E12" s="89">
        <v>3</v>
      </c>
      <c r="I12" s="89" t="s">
        <v>105</v>
      </c>
    </row>
    <row r="13" spans="1:15" x14ac:dyDescent="0.35">
      <c r="C13" s="89">
        <v>4</v>
      </c>
      <c r="D13" s="89">
        <f t="shared" si="0"/>
        <v>2012</v>
      </c>
      <c r="E13" s="89">
        <v>3</v>
      </c>
      <c r="I13" s="89" t="s">
        <v>106</v>
      </c>
    </row>
    <row r="14" spans="1:15" x14ac:dyDescent="0.35">
      <c r="C14" s="89">
        <v>5</v>
      </c>
      <c r="D14" s="89">
        <f t="shared" si="0"/>
        <v>2011</v>
      </c>
      <c r="E14" s="89">
        <v>3</v>
      </c>
      <c r="I14" s="89">
        <v>5</v>
      </c>
    </row>
    <row r="15" spans="1:15" x14ac:dyDescent="0.35">
      <c r="C15" s="89">
        <v>6</v>
      </c>
      <c r="D15" s="89" t="str">
        <f t="shared" si="0"/>
        <v/>
      </c>
      <c r="I15" s="89">
        <v>4</v>
      </c>
    </row>
    <row r="16" spans="1:15" x14ac:dyDescent="0.35">
      <c r="C16" s="89">
        <v>7</v>
      </c>
      <c r="D16" s="89" t="str">
        <f t="shared" si="0"/>
        <v/>
      </c>
      <c r="I16" s="89">
        <v>3</v>
      </c>
    </row>
    <row r="17" spans="1:22" x14ac:dyDescent="0.35">
      <c r="C17" s="89">
        <v>8</v>
      </c>
      <c r="D17" s="89" t="str">
        <f t="shared" si="0"/>
        <v/>
      </c>
      <c r="I17" s="89">
        <v>2</v>
      </c>
    </row>
    <row r="18" spans="1:22" x14ac:dyDescent="0.35">
      <c r="C18" s="89">
        <v>9</v>
      </c>
      <c r="D18" s="89" t="str">
        <f t="shared" si="0"/>
        <v/>
      </c>
      <c r="I18" s="89">
        <v>1</v>
      </c>
    </row>
    <row r="19" spans="1:22" x14ac:dyDescent="0.35">
      <c r="E19" s="89" t="s">
        <v>8</v>
      </c>
      <c r="F19" s="89">
        <f>SUM(E9:E18)/E7</f>
        <v>3</v>
      </c>
      <c r="T19" s="89" t="s">
        <v>75</v>
      </c>
    </row>
    <row r="22" spans="1:22" x14ac:dyDescent="0.35">
      <c r="M22" s="144">
        <v>44743</v>
      </c>
      <c r="T22" s="89" t="s">
        <v>76</v>
      </c>
    </row>
    <row r="23" spans="1:22" ht="15" thickBot="1" x14ac:dyDescent="0.4">
      <c r="C23" s="94" t="str">
        <f xml:space="preserve"> IF(E7&lt;=2,"vous êtes en accueil de votre poste",IF(E7&lt;=5,IF(F19&gt;=3,"vous êtes en maîtrise de votre poste","vous n'avez pas une note justifiant de la maîtrise du poste"),IF(F19&gt;=3,"vous êtes un expert dans votre poste demander à être reconnu EDISON","vous n'avez pas une note justifiant de la maîtrise du poste")))</f>
        <v>vous êtes un expert dans votre poste demander à être reconnu EDISON</v>
      </c>
      <c r="J23" s="89" t="s">
        <v>12</v>
      </c>
    </row>
    <row r="24" spans="1:22" x14ac:dyDescent="0.35">
      <c r="I24" s="89" t="s">
        <v>11</v>
      </c>
      <c r="J24" s="89" t="s">
        <v>13</v>
      </c>
      <c r="K24" s="89" t="s">
        <v>15</v>
      </c>
      <c r="L24" s="89" t="s">
        <v>16</v>
      </c>
      <c r="M24" s="95" t="s">
        <v>66</v>
      </c>
      <c r="N24" s="96" t="s">
        <v>74</v>
      </c>
      <c r="O24" s="97" t="s">
        <v>79</v>
      </c>
      <c r="T24" s="95" t="s">
        <v>66</v>
      </c>
      <c r="U24" s="98" t="s">
        <v>74</v>
      </c>
      <c r="V24" s="99" t="s">
        <v>17</v>
      </c>
    </row>
    <row r="25" spans="1:22" x14ac:dyDescent="0.35">
      <c r="A25" s="89" t="s">
        <v>9</v>
      </c>
      <c r="B25" s="89" t="s">
        <v>10</v>
      </c>
      <c r="E25" s="89">
        <v>255</v>
      </c>
      <c r="G25" s="89">
        <v>6</v>
      </c>
      <c r="H25" s="89">
        <v>155</v>
      </c>
      <c r="I25" s="89">
        <v>6</v>
      </c>
      <c r="J25" s="89" t="s">
        <v>11</v>
      </c>
      <c r="K25" s="89">
        <v>18.8</v>
      </c>
      <c r="L25" s="89">
        <v>28.5</v>
      </c>
      <c r="M25" s="100">
        <v>6</v>
      </c>
      <c r="N25" s="91">
        <v>25</v>
      </c>
      <c r="O25" s="91" t="s">
        <v>84</v>
      </c>
      <c r="T25" s="100">
        <v>6</v>
      </c>
      <c r="U25" s="101">
        <v>22</v>
      </c>
      <c r="V25" s="102">
        <v>23</v>
      </c>
    </row>
    <row r="26" spans="1:22" x14ac:dyDescent="0.35">
      <c r="G26" s="89">
        <v>7</v>
      </c>
      <c r="H26" s="89">
        <v>170</v>
      </c>
      <c r="I26" s="89">
        <v>7</v>
      </c>
      <c r="J26" s="89" t="s">
        <v>14</v>
      </c>
      <c r="K26" s="89">
        <v>18.8</v>
      </c>
      <c r="L26" s="89">
        <v>29.5</v>
      </c>
      <c r="M26" s="100">
        <v>7</v>
      </c>
      <c r="N26" s="91">
        <v>25.5</v>
      </c>
      <c r="O26" s="91"/>
      <c r="T26" s="100">
        <v>7</v>
      </c>
      <c r="U26" s="101">
        <v>23</v>
      </c>
      <c r="V26" s="103">
        <v>23.5</v>
      </c>
    </row>
    <row r="27" spans="1:22" x14ac:dyDescent="0.35">
      <c r="G27" s="89">
        <v>8</v>
      </c>
      <c r="H27" s="89">
        <v>180</v>
      </c>
      <c r="I27" s="89">
        <v>8</v>
      </c>
      <c r="K27" s="89">
        <v>19.100000000000001</v>
      </c>
      <c r="L27" s="89">
        <v>30.4</v>
      </c>
      <c r="M27" s="100">
        <v>8</v>
      </c>
      <c r="N27" s="91">
        <v>26</v>
      </c>
      <c r="O27" s="104">
        <v>24.3</v>
      </c>
      <c r="T27" s="100">
        <v>8</v>
      </c>
      <c r="U27" s="101">
        <v>24</v>
      </c>
      <c r="V27" s="102">
        <v>24.5</v>
      </c>
    </row>
    <row r="28" spans="1:22" x14ac:dyDescent="0.35">
      <c r="B28" s="89" t="s">
        <v>23</v>
      </c>
      <c r="E28" s="89">
        <v>8</v>
      </c>
      <c r="G28" s="89">
        <v>9</v>
      </c>
      <c r="H28" s="89">
        <v>190</v>
      </c>
      <c r="I28" s="89">
        <v>9</v>
      </c>
      <c r="K28" s="89">
        <v>19.7</v>
      </c>
      <c r="L28" s="89">
        <v>32.1</v>
      </c>
      <c r="M28" s="100">
        <v>9</v>
      </c>
      <c r="N28" s="91">
        <v>27.1</v>
      </c>
      <c r="O28" s="104">
        <v>25.7</v>
      </c>
      <c r="T28" s="100">
        <v>9</v>
      </c>
      <c r="U28" s="101">
        <v>25</v>
      </c>
      <c r="V28" s="102">
        <v>25.5</v>
      </c>
    </row>
    <row r="29" spans="1:22" x14ac:dyDescent="0.35">
      <c r="G29" s="89">
        <v>10</v>
      </c>
      <c r="H29" s="89">
        <v>225</v>
      </c>
      <c r="I29" s="89">
        <v>10</v>
      </c>
      <c r="K29" s="89">
        <v>20.6</v>
      </c>
      <c r="L29" s="89">
        <v>34.299999999999997</v>
      </c>
      <c r="M29" s="100">
        <v>10</v>
      </c>
      <c r="N29" s="91">
        <v>28.9</v>
      </c>
      <c r="O29" s="104">
        <v>27</v>
      </c>
      <c r="T29" s="100">
        <v>10</v>
      </c>
      <c r="U29" s="101">
        <v>26.5</v>
      </c>
      <c r="V29" s="102">
        <v>26.5</v>
      </c>
    </row>
    <row r="30" spans="1:22" x14ac:dyDescent="0.35">
      <c r="B30" s="89" t="s">
        <v>24</v>
      </c>
      <c r="G30" s="89">
        <v>11</v>
      </c>
      <c r="H30" s="89">
        <v>240</v>
      </c>
      <c r="I30" s="89">
        <v>11</v>
      </c>
      <c r="K30" s="89">
        <v>22.9</v>
      </c>
      <c r="L30" s="89">
        <v>36.299999999999997</v>
      </c>
      <c r="M30" s="100">
        <v>11</v>
      </c>
      <c r="N30" s="91">
        <v>30.8</v>
      </c>
      <c r="O30" s="104">
        <v>28.5</v>
      </c>
      <c r="T30" s="100">
        <v>11</v>
      </c>
      <c r="U30" s="101">
        <v>28</v>
      </c>
      <c r="V30" s="102">
        <v>28</v>
      </c>
    </row>
    <row r="31" spans="1:22" x14ac:dyDescent="0.35">
      <c r="E31" s="94" t="str">
        <f>IF(E28&gt;=6,IF(E30&gt;=4,"ATTENTION vous avez rempli un grade et un groupe de poste",""),"")</f>
        <v/>
      </c>
      <c r="G31" s="89">
        <v>12</v>
      </c>
      <c r="H31" s="89">
        <v>255</v>
      </c>
      <c r="I31" s="89">
        <v>12</v>
      </c>
      <c r="K31" s="89">
        <v>23.9</v>
      </c>
      <c r="L31" s="89">
        <v>38.1</v>
      </c>
      <c r="M31" s="100">
        <v>12</v>
      </c>
      <c r="N31" s="91">
        <v>32.4</v>
      </c>
      <c r="O31" s="104">
        <v>30.4</v>
      </c>
      <c r="T31" s="100">
        <v>12</v>
      </c>
      <c r="U31" s="101">
        <v>29</v>
      </c>
      <c r="V31" s="102">
        <v>29.5</v>
      </c>
    </row>
    <row r="32" spans="1:22" x14ac:dyDescent="0.35">
      <c r="G32" s="89">
        <v>13</v>
      </c>
      <c r="H32" s="89">
        <v>270</v>
      </c>
      <c r="I32" s="89">
        <v>13</v>
      </c>
      <c r="K32" s="89">
        <v>24.9</v>
      </c>
      <c r="L32" s="89">
        <v>40.1</v>
      </c>
      <c r="M32" s="100">
        <v>13</v>
      </c>
      <c r="N32" s="91">
        <v>34.1</v>
      </c>
      <c r="O32" s="104">
        <v>32</v>
      </c>
      <c r="T32" s="100">
        <v>13</v>
      </c>
      <c r="U32" s="101">
        <v>31</v>
      </c>
      <c r="V32" s="102">
        <v>32</v>
      </c>
    </row>
    <row r="33" spans="2:22" x14ac:dyDescent="0.35">
      <c r="B33" s="94" t="str">
        <f xml:space="preserve"> IF(E7&lt;=2,"vous êtes en accueil de votre poste",IF(E7&lt;=5,IF(F19&gt;=3,"vous êtes en maîtrise de votre poste","vous n'avez pas une note justifiant de la maîtrise du poste"),IF(F19&gt;=3,"vous êtes un expert dans votre poste demander à être reconnu EDISON","vous n'avez pas une note justifiant de la maîtrise du poste")))</f>
        <v>vous êtes un expert dans votre poste demander à être reconnu EDISON</v>
      </c>
      <c r="G33" s="89">
        <v>14</v>
      </c>
      <c r="H33" s="89">
        <v>285</v>
      </c>
      <c r="I33" s="89">
        <v>14</v>
      </c>
      <c r="K33" s="89">
        <v>25.9</v>
      </c>
      <c r="L33" s="89">
        <v>42.4</v>
      </c>
      <c r="M33" s="100">
        <v>14</v>
      </c>
      <c r="N33" s="91">
        <v>35.700000000000003</v>
      </c>
      <c r="O33" s="104">
        <v>34.799999999999997</v>
      </c>
      <c r="T33" s="100">
        <v>14</v>
      </c>
      <c r="U33" s="101">
        <v>33</v>
      </c>
      <c r="V33" s="102">
        <v>34</v>
      </c>
    </row>
    <row r="34" spans="2:22" x14ac:dyDescent="0.35">
      <c r="G34" s="89">
        <v>15</v>
      </c>
      <c r="H34" s="89">
        <v>305</v>
      </c>
      <c r="I34" s="89">
        <v>15</v>
      </c>
      <c r="K34" s="89">
        <v>27.7</v>
      </c>
      <c r="L34" s="89">
        <v>46.1</v>
      </c>
      <c r="M34" s="100">
        <v>15</v>
      </c>
      <c r="N34" s="91">
        <v>38.5</v>
      </c>
      <c r="O34" s="104">
        <v>38.5</v>
      </c>
      <c r="T34" s="100">
        <v>15</v>
      </c>
      <c r="U34" s="101">
        <v>35</v>
      </c>
      <c r="V34" s="102">
        <v>37.5</v>
      </c>
    </row>
    <row r="35" spans="2:22" x14ac:dyDescent="0.35">
      <c r="B35" s="89" t="s">
        <v>25</v>
      </c>
      <c r="D35" s="89">
        <f>IF(E28&gt;=6,VLOOKUP(E28,G25:H37,2,FALSE),VLOOKUP(E30,G38:H42,2,TRUE))</f>
        <v>180</v>
      </c>
      <c r="G35" s="89">
        <v>16</v>
      </c>
      <c r="H35" s="89">
        <v>335</v>
      </c>
      <c r="I35" s="89">
        <v>16</v>
      </c>
      <c r="K35" s="89">
        <v>30.1</v>
      </c>
      <c r="L35" s="89">
        <v>50.1</v>
      </c>
      <c r="M35" s="100">
        <v>16</v>
      </c>
      <c r="N35" s="91">
        <v>41.8</v>
      </c>
      <c r="O35" s="104">
        <v>41</v>
      </c>
      <c r="T35" s="100">
        <v>16</v>
      </c>
      <c r="U35" s="101">
        <v>38.5</v>
      </c>
      <c r="V35" s="102">
        <v>40</v>
      </c>
    </row>
    <row r="36" spans="2:22" x14ac:dyDescent="0.35">
      <c r="G36" s="89">
        <v>17</v>
      </c>
      <c r="H36" s="89">
        <v>365</v>
      </c>
      <c r="I36" s="89">
        <v>17</v>
      </c>
      <c r="K36" s="89">
        <v>33.4</v>
      </c>
      <c r="L36" s="89">
        <v>55.6</v>
      </c>
      <c r="M36" s="100">
        <v>17</v>
      </c>
      <c r="N36" s="91">
        <v>46.4</v>
      </c>
      <c r="O36" s="104">
        <v>47</v>
      </c>
      <c r="T36" s="100">
        <v>17</v>
      </c>
      <c r="U36" s="101">
        <v>42.5</v>
      </c>
      <c r="V36" s="102">
        <v>46</v>
      </c>
    </row>
    <row r="37" spans="2:22" x14ac:dyDescent="0.35">
      <c r="G37" s="89">
        <v>18</v>
      </c>
      <c r="H37" s="89">
        <v>395</v>
      </c>
      <c r="I37" s="89">
        <v>18</v>
      </c>
      <c r="K37" s="89">
        <v>37.6</v>
      </c>
      <c r="L37" s="89">
        <v>62.6</v>
      </c>
      <c r="M37" s="100">
        <v>18</v>
      </c>
      <c r="N37" s="91">
        <v>52.8</v>
      </c>
      <c r="O37" s="104">
        <v>52.5</v>
      </c>
      <c r="T37" s="100">
        <v>18</v>
      </c>
      <c r="U37" s="101">
        <v>49.5</v>
      </c>
      <c r="V37" s="102">
        <v>51</v>
      </c>
    </row>
    <row r="38" spans="2:22" x14ac:dyDescent="0.35">
      <c r="H38" s="89" t="s">
        <v>18</v>
      </c>
      <c r="N38" s="91"/>
      <c r="O38" s="105"/>
    </row>
    <row r="39" spans="2:22" x14ac:dyDescent="0.35">
      <c r="G39" s="89">
        <v>5</v>
      </c>
      <c r="H39" s="89" t="s">
        <v>19</v>
      </c>
      <c r="N39" s="91"/>
      <c r="O39" s="105"/>
      <c r="P39" s="106"/>
      <c r="Q39" s="106"/>
      <c r="S39" s="106"/>
    </row>
    <row r="40" spans="2:22" x14ac:dyDescent="0.35">
      <c r="B40" s="89" t="s">
        <v>28</v>
      </c>
      <c r="E40" s="89">
        <v>2000</v>
      </c>
      <c r="G40" s="89">
        <v>7</v>
      </c>
      <c r="H40" s="89" t="s">
        <v>20</v>
      </c>
      <c r="I40" s="89">
        <v>7</v>
      </c>
      <c r="K40" s="89">
        <v>32.299999999999997</v>
      </c>
      <c r="L40" s="89">
        <v>53.8</v>
      </c>
      <c r="M40" s="100">
        <v>4</v>
      </c>
      <c r="N40" s="91">
        <v>44.1</v>
      </c>
      <c r="O40" s="102">
        <v>45</v>
      </c>
      <c r="P40" s="106"/>
      <c r="Q40" s="106"/>
      <c r="S40" s="106"/>
      <c r="T40" s="100">
        <v>4</v>
      </c>
      <c r="U40" s="101">
        <v>42</v>
      </c>
      <c r="V40" s="102">
        <v>45</v>
      </c>
    </row>
    <row r="41" spans="2:22" x14ac:dyDescent="0.35">
      <c r="B41" s="107" t="s">
        <v>30</v>
      </c>
      <c r="G41" s="89">
        <v>9</v>
      </c>
      <c r="H41" s="89" t="s">
        <v>21</v>
      </c>
      <c r="I41" s="89">
        <v>9</v>
      </c>
      <c r="K41" s="89">
        <v>36.4</v>
      </c>
      <c r="L41" s="89">
        <v>60.6</v>
      </c>
      <c r="M41" s="100">
        <v>5</v>
      </c>
      <c r="N41" s="91">
        <v>49.9</v>
      </c>
      <c r="O41" s="102">
        <v>47.9</v>
      </c>
      <c r="P41" s="106"/>
      <c r="Q41" s="106"/>
      <c r="S41" s="106"/>
      <c r="T41" s="100">
        <v>5</v>
      </c>
      <c r="U41" s="101">
        <v>48</v>
      </c>
      <c r="V41" s="102">
        <v>49</v>
      </c>
    </row>
    <row r="42" spans="2:22" x14ac:dyDescent="0.35">
      <c r="B42" s="89" t="s">
        <v>29</v>
      </c>
      <c r="E42" s="108">
        <v>0.1</v>
      </c>
      <c r="G42" s="89">
        <v>10</v>
      </c>
      <c r="H42" s="89" t="s">
        <v>22</v>
      </c>
      <c r="I42" s="89">
        <v>10</v>
      </c>
      <c r="K42" s="89">
        <v>41.9</v>
      </c>
      <c r="L42" s="89">
        <v>69.8</v>
      </c>
      <c r="M42" s="100">
        <v>6</v>
      </c>
      <c r="N42" s="91">
        <v>57.8</v>
      </c>
      <c r="O42" s="102">
        <v>54.8</v>
      </c>
      <c r="P42" s="106"/>
      <c r="Q42" s="106"/>
      <c r="S42" s="106"/>
      <c r="T42" s="100">
        <v>6</v>
      </c>
      <c r="U42" s="101">
        <v>54</v>
      </c>
      <c r="V42" s="102">
        <v>54</v>
      </c>
    </row>
    <row r="43" spans="2:22" x14ac:dyDescent="0.35">
      <c r="K43" s="89">
        <v>49.2</v>
      </c>
      <c r="L43" s="89">
        <v>82</v>
      </c>
      <c r="M43" s="100">
        <v>7</v>
      </c>
      <c r="N43" s="91">
        <v>68.3</v>
      </c>
      <c r="O43" s="102">
        <v>64.5</v>
      </c>
      <c r="P43" s="106"/>
      <c r="Q43" s="106"/>
      <c r="S43" s="106"/>
      <c r="T43" s="100">
        <v>7</v>
      </c>
      <c r="U43" s="101">
        <v>64</v>
      </c>
      <c r="V43" s="102">
        <v>62</v>
      </c>
    </row>
    <row r="44" spans="2:22" x14ac:dyDescent="0.35">
      <c r="B44" s="109" t="s">
        <v>31</v>
      </c>
      <c r="E44" s="89">
        <f>(E40*12*(1+E42))/1000</f>
        <v>26.400000000000002</v>
      </c>
      <c r="F44" s="89" t="s">
        <v>32</v>
      </c>
      <c r="K44" s="89">
        <v>59.7</v>
      </c>
      <c r="L44" s="89">
        <v>99.5</v>
      </c>
      <c r="M44" s="100">
        <v>8</v>
      </c>
      <c r="N44" s="91">
        <v>84</v>
      </c>
      <c r="O44" s="102">
        <v>75</v>
      </c>
      <c r="P44" s="106"/>
      <c r="Q44" s="106"/>
      <c r="S44" s="106"/>
      <c r="T44" s="100">
        <v>8</v>
      </c>
      <c r="U44" s="101">
        <v>76.5</v>
      </c>
      <c r="V44" s="102">
        <v>73</v>
      </c>
    </row>
    <row r="45" spans="2:22" x14ac:dyDescent="0.35">
      <c r="K45" s="89">
        <v>74.900000000000006</v>
      </c>
      <c r="L45" s="89">
        <v>124.8</v>
      </c>
      <c r="M45" s="100">
        <v>9</v>
      </c>
      <c r="N45" s="91">
        <v>104</v>
      </c>
      <c r="O45" s="102">
        <v>94</v>
      </c>
      <c r="P45" s="106"/>
      <c r="Q45" s="106"/>
      <c r="S45" s="106"/>
      <c r="T45" s="100">
        <v>9</v>
      </c>
      <c r="U45" s="101">
        <v>96.5</v>
      </c>
      <c r="V45" s="102">
        <v>91</v>
      </c>
    </row>
    <row r="46" spans="2:22" x14ac:dyDescent="0.35">
      <c r="K46" s="89">
        <v>96.8</v>
      </c>
      <c r="L46" s="89">
        <v>161.30000000000001</v>
      </c>
      <c r="M46" s="100">
        <v>10</v>
      </c>
      <c r="N46" s="91">
        <v>134</v>
      </c>
      <c r="O46" s="102">
        <v>124</v>
      </c>
      <c r="T46" s="100">
        <v>10</v>
      </c>
      <c r="U46" s="101">
        <v>124.5</v>
      </c>
      <c r="V46" s="102">
        <v>117</v>
      </c>
    </row>
    <row r="47" spans="2:22" x14ac:dyDescent="0.35">
      <c r="B47" s="89" t="s">
        <v>35</v>
      </c>
      <c r="E47" s="89">
        <f>IF(E28&gt;=6,VLOOKUP(E28,M25:N37,2,FALSE),VLOOKUP(E30,M40:N49,2,FALSE))</f>
        <v>26</v>
      </c>
      <c r="F47" s="89" t="s">
        <v>32</v>
      </c>
      <c r="M47" s="100">
        <v>11</v>
      </c>
      <c r="N47" s="110"/>
      <c r="O47" s="105"/>
    </row>
    <row r="48" spans="2:22" x14ac:dyDescent="0.35">
      <c r="M48" s="100">
        <v>12</v>
      </c>
      <c r="N48" s="110"/>
      <c r="O48" s="105"/>
    </row>
    <row r="49" spans="2:23" ht="15" thickBot="1" x14ac:dyDescent="0.4">
      <c r="B49" s="89" t="s">
        <v>33</v>
      </c>
      <c r="E49" s="111">
        <f>-(E47-E44)/E47</f>
        <v>1.5384615384615467E-2</v>
      </c>
      <c r="M49" s="112">
        <v>13</v>
      </c>
      <c r="N49" s="113"/>
      <c r="O49" s="114"/>
    </row>
    <row r="50" spans="2:23" x14ac:dyDescent="0.35">
      <c r="B50" s="89" t="s">
        <v>43</v>
      </c>
      <c r="E50" s="115">
        <f>1+E49</f>
        <v>1.0153846153846156</v>
      </c>
    </row>
    <row r="52" spans="2:23" x14ac:dyDescent="0.35">
      <c r="B52" s="89" t="s">
        <v>36</v>
      </c>
      <c r="E52" s="89">
        <f>IF(E28&gt;=6,VLOOKUP(E28,M25:O37,3,FALSE),VLOOKUP(E30,M40:O49,3,FALSE))</f>
        <v>24.3</v>
      </c>
      <c r="F52" s="89" t="s">
        <v>32</v>
      </c>
    </row>
    <row r="53" spans="2:23" x14ac:dyDescent="0.35">
      <c r="B53" s="94"/>
    </row>
    <row r="54" spans="2:23" x14ac:dyDescent="0.35">
      <c r="B54" s="89" t="s">
        <v>34</v>
      </c>
      <c r="E54" s="111">
        <f>-(E52-E44)/E52</f>
        <v>8.6419753086419804E-2</v>
      </c>
      <c r="I54" s="94" t="s">
        <v>83</v>
      </c>
    </row>
    <row r="56" spans="2:23" x14ac:dyDescent="0.35">
      <c r="I56" s="89" t="s">
        <v>67</v>
      </c>
      <c r="R56" s="89" t="s">
        <v>77</v>
      </c>
      <c r="V56" s="89" t="s">
        <v>69</v>
      </c>
    </row>
    <row r="57" spans="2:23" x14ac:dyDescent="0.35">
      <c r="J57" s="91" t="s">
        <v>37</v>
      </c>
      <c r="K57" s="91" t="s">
        <v>4</v>
      </c>
      <c r="L57" s="89" t="s">
        <v>78</v>
      </c>
      <c r="R57" s="89" t="s">
        <v>37</v>
      </c>
      <c r="S57" s="89" t="s">
        <v>4</v>
      </c>
      <c r="V57" s="89" t="s">
        <v>37</v>
      </c>
      <c r="W57" s="89" t="s">
        <v>4</v>
      </c>
    </row>
    <row r="58" spans="2:23" x14ac:dyDescent="0.35">
      <c r="B58" s="89" t="s">
        <v>38</v>
      </c>
      <c r="I58" s="89">
        <v>155</v>
      </c>
      <c r="J58" s="91">
        <v>1910</v>
      </c>
      <c r="K58" s="91"/>
      <c r="L58" s="89">
        <v>17</v>
      </c>
      <c r="R58" s="89">
        <v>1875</v>
      </c>
      <c r="V58" s="89">
        <v>1909</v>
      </c>
    </row>
    <row r="59" spans="2:23" x14ac:dyDescent="0.35">
      <c r="I59" s="89">
        <v>170</v>
      </c>
      <c r="J59" s="91"/>
      <c r="K59" s="91"/>
      <c r="M59" s="89">
        <v>2</v>
      </c>
    </row>
    <row r="60" spans="2:23" x14ac:dyDescent="0.35">
      <c r="B60" s="89" t="s">
        <v>41</v>
      </c>
      <c r="E60" s="89">
        <f>IF(E4="Ouvrier",VLOOKUP(E25,I58:K76,2,FALSE),(IF(E4="ATAM",VLOOKUP(E25,I58:K76,3,FALSE),(IF(E4="IC",VLOOKUP(E25,I58:K76,2,FALSE),FALSE)))))</f>
        <v>2699</v>
      </c>
      <c r="I60" s="89">
        <v>180</v>
      </c>
      <c r="J60" s="91">
        <v>2034</v>
      </c>
      <c r="K60" s="91"/>
      <c r="L60" s="89">
        <v>427</v>
      </c>
      <c r="M60" s="89">
        <v>1</v>
      </c>
      <c r="R60" s="89">
        <v>1951</v>
      </c>
      <c r="V60" s="89">
        <v>1935</v>
      </c>
    </row>
    <row r="61" spans="2:23" x14ac:dyDescent="0.35">
      <c r="B61" s="89" t="s">
        <v>40</v>
      </c>
      <c r="E61" s="111">
        <f>IF(E4="IC",VLOOKUP(E25,I58:K76,3,),0)</f>
        <v>0</v>
      </c>
      <c r="I61" s="89">
        <v>190</v>
      </c>
      <c r="J61" s="91">
        <v>2170</v>
      </c>
      <c r="K61" s="116"/>
      <c r="L61" s="89">
        <v>474</v>
      </c>
      <c r="M61" s="89">
        <v>7</v>
      </c>
      <c r="R61" s="89">
        <v>2091</v>
      </c>
      <c r="S61" s="117">
        <v>2322</v>
      </c>
      <c r="V61" s="89">
        <v>2071</v>
      </c>
      <c r="W61" s="89">
        <v>2239</v>
      </c>
    </row>
    <row r="62" spans="2:23" x14ac:dyDescent="0.35">
      <c r="B62" s="89" t="s">
        <v>42</v>
      </c>
      <c r="E62" s="118">
        <f>E60*12*(1+E61)/1000</f>
        <v>32.387999999999998</v>
      </c>
      <c r="F62" s="89" t="s">
        <v>32</v>
      </c>
      <c r="J62" s="91"/>
      <c r="K62" s="91"/>
    </row>
    <row r="63" spans="2:23" x14ac:dyDescent="0.35">
      <c r="B63" s="89" t="s">
        <v>39</v>
      </c>
      <c r="I63" s="89">
        <v>225</v>
      </c>
      <c r="J63" s="119">
        <v>2322</v>
      </c>
      <c r="K63" s="116">
        <v>2567</v>
      </c>
      <c r="L63" s="89">
        <v>487</v>
      </c>
      <c r="M63" s="89">
        <v>17</v>
      </c>
      <c r="R63" s="120">
        <v>2195</v>
      </c>
      <c r="S63" s="117">
        <v>2320</v>
      </c>
      <c r="V63" s="89">
        <v>2183</v>
      </c>
      <c r="W63" s="89">
        <v>2249</v>
      </c>
    </row>
    <row r="64" spans="2:23" x14ac:dyDescent="0.35">
      <c r="E64" s="121">
        <f>E44/E62-1</f>
        <v>-0.18488329010744708</v>
      </c>
      <c r="I64" s="89">
        <v>240</v>
      </c>
      <c r="J64" s="119">
        <v>2502</v>
      </c>
      <c r="K64" s="116">
        <v>2601</v>
      </c>
      <c r="L64" s="89">
        <v>274</v>
      </c>
      <c r="M64" s="89">
        <v>35</v>
      </c>
      <c r="R64" s="120">
        <v>2306.5990035587188</v>
      </c>
      <c r="S64" s="117">
        <v>2378.8536111111107</v>
      </c>
      <c r="V64" s="89">
        <v>2293</v>
      </c>
      <c r="W64" s="89">
        <v>2404</v>
      </c>
    </row>
    <row r="65" spans="9:23" x14ac:dyDescent="0.35">
      <c r="I65" s="89">
        <v>255</v>
      </c>
      <c r="J65" s="119">
        <v>2656</v>
      </c>
      <c r="K65" s="116">
        <v>2699</v>
      </c>
      <c r="L65" s="89">
        <v>138</v>
      </c>
      <c r="M65" s="89">
        <v>89</v>
      </c>
      <c r="R65" s="120">
        <v>2455.7666666666673</v>
      </c>
      <c r="S65" s="117">
        <v>2570.8583168316832</v>
      </c>
      <c r="V65" s="89">
        <v>2421</v>
      </c>
      <c r="W65" s="89">
        <v>2526</v>
      </c>
    </row>
    <row r="66" spans="9:23" x14ac:dyDescent="0.35">
      <c r="I66" s="89">
        <v>270</v>
      </c>
      <c r="J66" s="119">
        <v>2706</v>
      </c>
      <c r="K66" s="116">
        <v>2746</v>
      </c>
      <c r="L66" s="89">
        <v>70</v>
      </c>
      <c r="M66" s="89">
        <v>211</v>
      </c>
      <c r="R66" s="120">
        <v>2465.8578571428575</v>
      </c>
      <c r="S66" s="117">
        <v>2667.9648728813572</v>
      </c>
      <c r="V66" s="89">
        <v>2449</v>
      </c>
      <c r="W66" s="122">
        <v>2653</v>
      </c>
    </row>
    <row r="67" spans="9:23" ht="15" thickBot="1" x14ac:dyDescent="0.4">
      <c r="I67" s="89">
        <v>285</v>
      </c>
      <c r="J67" s="123">
        <v>2777</v>
      </c>
      <c r="K67" s="116">
        <v>2938</v>
      </c>
      <c r="L67" s="89">
        <v>84</v>
      </c>
      <c r="M67" s="89">
        <v>654</v>
      </c>
      <c r="R67" s="124">
        <v>2579.764891304349</v>
      </c>
      <c r="S67" s="117">
        <v>2773.3101788375538</v>
      </c>
      <c r="V67" s="89">
        <v>2559</v>
      </c>
      <c r="W67" s="89">
        <v>2767</v>
      </c>
    </row>
    <row r="68" spans="9:23" x14ac:dyDescent="0.35">
      <c r="I68" s="89">
        <v>305</v>
      </c>
      <c r="J68" s="91"/>
      <c r="K68" s="116">
        <v>3268</v>
      </c>
      <c r="M68" s="89">
        <v>739</v>
      </c>
      <c r="S68" s="117">
        <v>3075.1499074074077</v>
      </c>
      <c r="W68" s="89">
        <v>3081</v>
      </c>
    </row>
    <row r="69" spans="9:23" x14ac:dyDescent="0.35">
      <c r="I69" s="89">
        <v>335</v>
      </c>
      <c r="J69" s="91"/>
      <c r="K69" s="116">
        <v>3621</v>
      </c>
      <c r="M69" s="89">
        <v>706</v>
      </c>
      <c r="S69" s="117">
        <v>3435.3222991689813</v>
      </c>
      <c r="W69" s="89">
        <v>3412</v>
      </c>
    </row>
    <row r="70" spans="9:23" x14ac:dyDescent="0.35">
      <c r="I70" s="89">
        <v>365</v>
      </c>
      <c r="J70" s="91"/>
      <c r="K70" s="116">
        <v>4102</v>
      </c>
      <c r="M70" s="89">
        <v>429</v>
      </c>
      <c r="S70" s="117">
        <v>3884.6698564593285</v>
      </c>
      <c r="W70" s="89">
        <v>3847</v>
      </c>
    </row>
    <row r="71" spans="9:23" ht="15" thickBot="1" x14ac:dyDescent="0.4">
      <c r="I71" s="89">
        <v>395</v>
      </c>
      <c r="J71" s="91"/>
      <c r="K71" s="125">
        <v>4487</v>
      </c>
      <c r="L71" s="89" t="s">
        <v>70</v>
      </c>
      <c r="M71" s="89">
        <v>94</v>
      </c>
      <c r="S71" s="126">
        <v>4258.2650649350635</v>
      </c>
      <c r="T71" s="89" t="s">
        <v>70</v>
      </c>
      <c r="W71" s="89">
        <v>4288</v>
      </c>
    </row>
    <row r="72" spans="9:23" x14ac:dyDescent="0.35">
      <c r="I72" s="89" t="s">
        <v>18</v>
      </c>
      <c r="J72" s="127">
        <v>3285</v>
      </c>
      <c r="K72" s="128">
        <v>5.0999999999999997E-2</v>
      </c>
      <c r="L72" s="89">
        <v>204</v>
      </c>
      <c r="R72" s="129">
        <v>3192.7460576923086</v>
      </c>
      <c r="S72" s="130">
        <v>5.0999999999999997E-2</v>
      </c>
      <c r="T72" s="89">
        <v>130</v>
      </c>
      <c r="V72" s="89">
        <v>3100</v>
      </c>
      <c r="W72" s="131">
        <v>0.04</v>
      </c>
    </row>
    <row r="73" spans="9:23" x14ac:dyDescent="0.35">
      <c r="I73" s="89" t="s">
        <v>19</v>
      </c>
      <c r="J73" s="132">
        <v>4773</v>
      </c>
      <c r="K73" s="133">
        <v>0.104</v>
      </c>
      <c r="L73" s="89">
        <v>6055</v>
      </c>
      <c r="R73" s="134">
        <v>4358.1243976565374</v>
      </c>
      <c r="S73" s="135">
        <v>9.0999999999999998E-2</v>
      </c>
      <c r="T73" s="89">
        <v>2512</v>
      </c>
      <c r="V73" s="89">
        <v>4269</v>
      </c>
      <c r="W73" s="131">
        <v>8.2000000000000003E-2</v>
      </c>
    </row>
    <row r="74" spans="9:23" x14ac:dyDescent="0.35">
      <c r="I74" s="89" t="s">
        <v>20</v>
      </c>
      <c r="J74" s="132">
        <v>6517</v>
      </c>
      <c r="K74" s="133">
        <v>0.153</v>
      </c>
      <c r="L74" s="89">
        <v>3689</v>
      </c>
      <c r="R74" s="134">
        <v>5839.8804073660704</v>
      </c>
      <c r="S74" s="135">
        <v>0.13500000000000001</v>
      </c>
      <c r="T74" s="89">
        <v>1757</v>
      </c>
      <c r="V74" s="89">
        <v>5626</v>
      </c>
      <c r="W74" s="131">
        <v>0.12</v>
      </c>
    </row>
    <row r="75" spans="9:23" x14ac:dyDescent="0.35">
      <c r="I75" s="89" t="s">
        <v>21</v>
      </c>
      <c r="J75" s="132">
        <v>8731</v>
      </c>
      <c r="K75" s="133">
        <v>0.21199999999999999</v>
      </c>
      <c r="L75" s="89">
        <v>1428</v>
      </c>
      <c r="R75" s="134">
        <v>7794.6525879397041</v>
      </c>
      <c r="S75" s="135">
        <v>0.19</v>
      </c>
      <c r="T75" s="89">
        <v>816</v>
      </c>
      <c r="V75" s="89">
        <v>7427</v>
      </c>
      <c r="W75" s="131">
        <v>0.17</v>
      </c>
    </row>
    <row r="76" spans="9:23" ht="15" thickBot="1" x14ac:dyDescent="0.4">
      <c r="I76" s="89" t="s">
        <v>22</v>
      </c>
      <c r="J76" s="136">
        <v>13276</v>
      </c>
      <c r="K76" s="137">
        <v>0.34200000000000003</v>
      </c>
      <c r="L76" s="89">
        <v>476</v>
      </c>
      <c r="R76" s="138">
        <v>12115.445090909085</v>
      </c>
      <c r="S76" s="139">
        <v>0.29899999999999999</v>
      </c>
      <c r="T76" s="89">
        <v>297</v>
      </c>
      <c r="V76" s="89">
        <v>11452</v>
      </c>
      <c r="W76" s="131">
        <v>0.27100000000000002</v>
      </c>
    </row>
    <row r="78" spans="9:23" x14ac:dyDescent="0.35">
      <c r="K78" s="89" t="s">
        <v>71</v>
      </c>
    </row>
  </sheetData>
  <sheetProtection algorithmName="SHA-512" hashValue="TXACLNVekt5loHNM0iEdasuWLejW2VhovtLTL6bNvGQtpEWPHHBPeN2DjZsSTa5v+ugZMKRXG826sED5dOU4FA==" saltValue="xrhZkQtpBY3kWaqRKENRYg==" spinCount="100000" sheet="1" selectLockedCells="1"/>
  <conditionalFormatting sqref="E64">
    <cfRule type="cellIs" dxfId="3" priority="1" operator="lessThan">
      <formula>0</formula>
    </cfRule>
  </conditionalFormatting>
  <dataValidations count="8">
    <dataValidation type="list" allowBlank="1" showInputMessage="1" showErrorMessage="1" sqref="E30" xr:uid="{00000000-0002-0000-0100-000000000000}">
      <formula1>$M$40:$M$49</formula1>
    </dataValidation>
    <dataValidation type="list" allowBlank="1" showInputMessage="1" showErrorMessage="1" sqref="E28" xr:uid="{00000000-0002-0000-0100-000001000000}">
      <formula1>$I$25:$I$37</formula1>
    </dataValidation>
    <dataValidation type="list" allowBlank="1" showInputMessage="1" showErrorMessage="1" prompt="OATAM : notez votre coefficient entre 155 et 395,_x000a_Ingénieur et cadre notez votre classification entre 1 et 3A_x000a_Choisissez dans la liste déroulante" sqref="E25" xr:uid="{00000000-0002-0000-0100-000002000000}">
      <formula1>$H$25:$H$42</formula1>
    </dataValidation>
    <dataValidation type="whole" allowBlank="1" showInputMessage="1" showErrorMessage="1" sqref="E9:E18" xr:uid="{00000000-0002-0000-0100-000003000000}">
      <formula1>1</formula1>
      <formula2>5</formula2>
    </dataValidation>
    <dataValidation type="whole" allowBlank="1" showInputMessage="1" showErrorMessage="1" prompt="nombre d'évaluation" sqref="E7" xr:uid="{00000000-0002-0000-0100-000004000000}">
      <formula1>0</formula1>
      <formula2>40</formula2>
    </dataValidation>
    <dataValidation type="date" allowBlank="1" showInputMessage="1" showErrorMessage="1" prompt="entrer une date au format dd/mm/aaaa" sqref="E3" xr:uid="{00000000-0002-0000-0100-000005000000}">
      <formula1>42370</formula1>
      <formula2>47484</formula2>
    </dataValidation>
    <dataValidation type="list" allowBlank="1" showInputMessage="1" showErrorMessage="1" sqref="E4" xr:uid="{00000000-0002-0000-0100-000006000000}">
      <formula1>$J$4:$J$6</formula1>
    </dataValidation>
    <dataValidation type="whole" allowBlank="1" showInputMessage="1" showErrorMessage="1" prompt="entrer le groupe de poste entre 6 et 18 pour les OATAM et entre 4 et 10 pour les IC" sqref="E5" xr:uid="{00000000-0002-0000-0100-000007000000}">
      <formula1>4</formula1>
      <formula2>18</formula2>
    </dataValidation>
  </dataValidations>
  <pageMargins left="0.7" right="0.7" top="0.75" bottom="0.75" header="0.3" footer="0.3"/>
  <pageSetup orientation="portrait" r:id="rId1"/>
  <headerFooter>
    <oddFooter>&amp;C&amp;1#&amp;"Arial"&amp;6&amp;K626469Internal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CC"/>
    <pageSetUpPr fitToPage="1"/>
  </sheetPr>
  <dimension ref="B1:O59"/>
  <sheetViews>
    <sheetView showGridLines="0" topLeftCell="A22" zoomScaleNormal="100" workbookViewId="0">
      <selection activeCell="O31" sqref="O31"/>
    </sheetView>
  </sheetViews>
  <sheetFormatPr baseColWidth="10" defaultRowHeight="14.5" x14ac:dyDescent="0.35"/>
  <cols>
    <col min="1" max="1" width="3.54296875" customWidth="1"/>
    <col min="5" max="5" width="16.26953125" customWidth="1"/>
    <col min="6" max="6" width="8.26953125" customWidth="1"/>
    <col min="8" max="8" width="18" customWidth="1"/>
    <col min="9" max="9" width="5.453125" customWidth="1"/>
    <col min="10" max="10" width="7.453125" customWidth="1"/>
    <col min="11" max="11" width="13.453125" customWidth="1"/>
    <col min="12" max="12" width="7.453125" customWidth="1"/>
    <col min="13" max="13" width="3.1796875" customWidth="1"/>
  </cols>
  <sheetData>
    <row r="1" spans="2:15" ht="11.25" customHeight="1" x14ac:dyDescent="0.35"/>
    <row r="2" spans="2:15" ht="21" x14ac:dyDescent="0.5">
      <c r="B2" s="155" t="s">
        <v>85</v>
      </c>
      <c r="C2" s="155"/>
      <c r="D2" s="155"/>
      <c r="E2" s="155"/>
      <c r="F2" s="155"/>
      <c r="G2" s="155"/>
      <c r="H2" s="155"/>
      <c r="I2" s="155"/>
      <c r="J2" s="155"/>
      <c r="K2" s="155"/>
      <c r="L2" s="155"/>
      <c r="M2" s="28"/>
      <c r="N2" s="28"/>
      <c r="O2" s="28"/>
    </row>
    <row r="3" spans="2:15" ht="17.5" x14ac:dyDescent="0.35">
      <c r="B3" s="5"/>
    </row>
    <row r="4" spans="2:15" ht="18.5" x14ac:dyDescent="0.45">
      <c r="B4" s="142" t="s">
        <v>122</v>
      </c>
      <c r="C4" s="154" t="str">
        <f>+calculation!E8</f>
        <v>JULLIENS</v>
      </c>
      <c r="F4" s="20"/>
      <c r="G4" s="17" t="s">
        <v>127</v>
      </c>
      <c r="H4" s="154" t="str">
        <f>+calculation!E9</f>
        <v>ALBERT</v>
      </c>
    </row>
    <row r="5" spans="2:15" ht="8.25" customHeight="1" x14ac:dyDescent="0.35">
      <c r="B5" s="7"/>
    </row>
    <row r="6" spans="2:15" ht="15.5" x14ac:dyDescent="0.35">
      <c r="B6" s="6" t="s">
        <v>123</v>
      </c>
      <c r="G6" s="162" t="str">
        <f>+calculation!E10</f>
        <v>IAB2</v>
      </c>
    </row>
    <row r="7" spans="2:15" ht="9.75" customHeight="1" thickBot="1" x14ac:dyDescent="0.4">
      <c r="B7" s="7"/>
    </row>
    <row r="8" spans="2:15" ht="16" thickBot="1" x14ac:dyDescent="0.4">
      <c r="B8" s="6" t="s">
        <v>124</v>
      </c>
      <c r="J8" s="18" t="s">
        <v>52</v>
      </c>
      <c r="K8" s="156">
        <f>+calculation!E12</f>
        <v>9</v>
      </c>
    </row>
    <row r="9" spans="2:15" ht="10.5" customHeight="1" thickBot="1" x14ac:dyDescent="0.4">
      <c r="B9" s="7"/>
      <c r="K9" s="153"/>
    </row>
    <row r="10" spans="2:15" ht="16" thickBot="1" x14ac:dyDescent="0.4">
      <c r="B10" s="6" t="s">
        <v>125</v>
      </c>
      <c r="J10" s="18" t="s">
        <v>51</v>
      </c>
      <c r="K10" s="156">
        <f>+calculation!E17</f>
        <v>7</v>
      </c>
      <c r="L10" s="20" t="s">
        <v>128</v>
      </c>
    </row>
    <row r="11" spans="2:15" ht="10.5" customHeight="1" thickBot="1" x14ac:dyDescent="0.4">
      <c r="B11" s="7"/>
      <c r="K11" s="25"/>
    </row>
    <row r="12" spans="2:15" ht="16" thickBot="1" x14ac:dyDescent="0.4">
      <c r="B12" s="6" t="s">
        <v>126</v>
      </c>
      <c r="J12" s="18" t="s">
        <v>73</v>
      </c>
      <c r="K12" s="157" t="str">
        <f>calculation!E19</f>
        <v>Performer</v>
      </c>
      <c r="L12" s="158"/>
    </row>
    <row r="13" spans="2:15" ht="15" thickBot="1" x14ac:dyDescent="0.4">
      <c r="B13" s="143"/>
    </row>
    <row r="14" spans="2:15" ht="16" thickBot="1" x14ac:dyDescent="0.4">
      <c r="B14" s="164" t="s">
        <v>168</v>
      </c>
      <c r="I14" s="163" t="s">
        <v>53</v>
      </c>
      <c r="J14" s="159" t="str">
        <f>+IF(calculation!D25="you are in induction level, novice, acquiring skills","Novice",(IF(calculation!D25="you seem to be in proficiency (autonomy) level, subject to generally positive evaluations on the duration of the position","Proficiency",IF(calculation!D25="you do not seem to meet all the criteria for mastering the position","In progress","Expertise"))))</f>
        <v>Expertise</v>
      </c>
      <c r="K14" s="160"/>
      <c r="L14" s="161"/>
    </row>
    <row r="15" spans="2:15" ht="53.25" customHeight="1" x14ac:dyDescent="0.35">
      <c r="B15" s="151" t="s">
        <v>129</v>
      </c>
      <c r="C15" s="151"/>
      <c r="D15" s="151"/>
      <c r="E15" s="151"/>
      <c r="F15" s="151"/>
      <c r="G15" s="151"/>
      <c r="H15" s="151"/>
      <c r="I15" s="151"/>
      <c r="J15" s="151"/>
      <c r="K15" s="151"/>
      <c r="L15" s="151"/>
    </row>
    <row r="16" spans="2:15" x14ac:dyDescent="0.35">
      <c r="B16" s="8" t="s">
        <v>130</v>
      </c>
    </row>
    <row r="17" spans="2:12" x14ac:dyDescent="0.35">
      <c r="B17" s="8" t="s">
        <v>131</v>
      </c>
    </row>
    <row r="18" spans="2:12" x14ac:dyDescent="0.35">
      <c r="B18" s="8" t="s">
        <v>132</v>
      </c>
    </row>
    <row r="19" spans="2:12" ht="27" customHeight="1" x14ac:dyDescent="0.35">
      <c r="B19" s="152" t="s">
        <v>133</v>
      </c>
      <c r="C19" s="152"/>
      <c r="D19" s="152"/>
      <c r="E19" s="152"/>
      <c r="F19" s="152"/>
      <c r="G19" s="152"/>
      <c r="H19" s="152"/>
      <c r="I19" s="152"/>
      <c r="J19" s="152"/>
      <c r="K19" s="152"/>
      <c r="L19" s="152"/>
    </row>
    <row r="20" spans="2:12" x14ac:dyDescent="0.35">
      <c r="B20" s="9"/>
    </row>
    <row r="21" spans="2:12" ht="18.5" x14ac:dyDescent="0.45">
      <c r="B21" s="165" t="s">
        <v>137</v>
      </c>
    </row>
    <row r="22" spans="2:12" ht="12" customHeight="1" thickBot="1" x14ac:dyDescent="0.4">
      <c r="B22" s="10"/>
    </row>
    <row r="23" spans="2:12" s="3" customFormat="1" ht="16" thickBot="1" x14ac:dyDescent="0.4">
      <c r="B23" s="15" t="s">
        <v>134</v>
      </c>
      <c r="J23" s="18" t="s">
        <v>54</v>
      </c>
      <c r="K23" s="156">
        <f>calculation!E13</f>
        <v>225</v>
      </c>
    </row>
    <row r="24" spans="2:12" ht="10.5" customHeight="1" thickBot="1" x14ac:dyDescent="0.4">
      <c r="B24" s="10"/>
    </row>
    <row r="25" spans="2:12" ht="16" thickBot="1" x14ac:dyDescent="0.4">
      <c r="B25" s="6" t="s">
        <v>135</v>
      </c>
      <c r="K25" s="156">
        <f>calculation!E27</f>
        <v>190</v>
      </c>
    </row>
    <row r="26" spans="2:12" ht="10.5" customHeight="1" thickBot="1" x14ac:dyDescent="0.4">
      <c r="B26" s="12"/>
    </row>
    <row r="27" spans="2:12" ht="16" thickBot="1" x14ac:dyDescent="0.4">
      <c r="B27" s="23" t="s">
        <v>136</v>
      </c>
      <c r="I27" s="18" t="s">
        <v>141</v>
      </c>
      <c r="J27" s="26" t="str">
        <f>(IF(calculation!G27="vous pouvez discuter du changement de votre niveau de qualification (promotion) avec votre hiérarchie et la fonction RH","X",""))</f>
        <v/>
      </c>
      <c r="K27" s="18" t="s">
        <v>140</v>
      </c>
      <c r="L27" s="156" t="str">
        <f>(IF(calculation!G27="vous pouvez discuter du changement de votre niveau de qualification (promotion) avec votre hiérarchie et la fonction RH","","X"))</f>
        <v>X</v>
      </c>
    </row>
    <row r="28" spans="2:12" ht="15.5" x14ac:dyDescent="0.35">
      <c r="B28" s="11"/>
    </row>
    <row r="29" spans="2:12" ht="18.5" x14ac:dyDescent="0.45">
      <c r="B29" s="165" t="s">
        <v>138</v>
      </c>
    </row>
    <row r="30" spans="2:12" ht="9.75" customHeight="1" thickBot="1" x14ac:dyDescent="0.4">
      <c r="B30" s="10"/>
    </row>
    <row r="31" spans="2:12" ht="16" thickBot="1" x14ac:dyDescent="0.4">
      <c r="B31" s="15" t="s">
        <v>142</v>
      </c>
      <c r="I31" s="20"/>
      <c r="J31" s="18" t="s">
        <v>55</v>
      </c>
      <c r="K31" s="156">
        <f>calculation!E14</f>
        <v>2300</v>
      </c>
      <c r="L31" s="24" t="s">
        <v>139</v>
      </c>
    </row>
    <row r="32" spans="2:12" ht="9.75" customHeight="1" thickBot="1" x14ac:dyDescent="0.4">
      <c r="B32" s="15"/>
      <c r="I32" s="20"/>
      <c r="J32" s="18"/>
      <c r="K32" s="27"/>
      <c r="L32" s="24"/>
    </row>
    <row r="33" spans="2:13" ht="16" thickBot="1" x14ac:dyDescent="0.4">
      <c r="B33" s="6" t="s">
        <v>143</v>
      </c>
      <c r="J33" s="18" t="s">
        <v>57</v>
      </c>
      <c r="K33" s="166">
        <f>calculation!E16</f>
        <v>0</v>
      </c>
      <c r="L33" s="24"/>
    </row>
    <row r="34" spans="2:13" ht="10.5" customHeight="1" thickBot="1" x14ac:dyDescent="0.4">
      <c r="B34" s="7"/>
      <c r="J34" s="18"/>
      <c r="K34" s="20"/>
      <c r="L34" s="24"/>
    </row>
    <row r="35" spans="2:13" ht="16" thickBot="1" x14ac:dyDescent="0.4">
      <c r="B35" s="23" t="s">
        <v>144</v>
      </c>
      <c r="J35" s="18" t="s">
        <v>56</v>
      </c>
      <c r="K35" s="156">
        <f>calculation!E29</f>
        <v>27.6</v>
      </c>
      <c r="L35" s="24" t="s">
        <v>120</v>
      </c>
      <c r="M35" s="19"/>
    </row>
    <row r="36" spans="2:13" ht="15.5" x14ac:dyDescent="0.35">
      <c r="B36" s="16" t="s">
        <v>145</v>
      </c>
      <c r="J36" s="18"/>
      <c r="K36" s="20"/>
      <c r="L36" s="20"/>
    </row>
    <row r="37" spans="2:13" ht="10.5" customHeight="1" x14ac:dyDescent="0.35">
      <c r="B37" s="13"/>
      <c r="J37" s="18"/>
      <c r="K37" s="20"/>
      <c r="L37" s="20"/>
    </row>
    <row r="38" spans="2:13" ht="15.5" x14ac:dyDescent="0.35">
      <c r="B38" s="15" t="s">
        <v>146</v>
      </c>
      <c r="J38" s="18" t="s">
        <v>58</v>
      </c>
      <c r="K38" s="167">
        <f>calculation!E32</f>
        <v>27.1</v>
      </c>
      <c r="L38" s="24" t="s">
        <v>120</v>
      </c>
    </row>
    <row r="39" spans="2:13" ht="10.5" customHeight="1" thickBot="1" x14ac:dyDescent="0.4">
      <c r="B39" s="4"/>
      <c r="J39" s="18"/>
      <c r="K39" s="168"/>
      <c r="L39" s="20"/>
    </row>
    <row r="40" spans="2:13" ht="16" thickBot="1" x14ac:dyDescent="0.4">
      <c r="B40" s="23" t="s">
        <v>147</v>
      </c>
      <c r="F40" s="156">
        <f>-ROUND((calculation!E32-calculation!E29),1)</f>
        <v>0.5</v>
      </c>
      <c r="G40" s="20" t="s">
        <v>149</v>
      </c>
      <c r="J40" s="18"/>
      <c r="K40" s="169">
        <f>ROUND(calculation!E34,3)</f>
        <v>1.7999999999999999E-2</v>
      </c>
      <c r="L40" s="24"/>
    </row>
    <row r="41" spans="2:13" ht="8" customHeight="1" thickBot="1" x14ac:dyDescent="0.4">
      <c r="B41" s="23"/>
      <c r="F41" s="1"/>
      <c r="J41" s="18"/>
      <c r="K41" s="20"/>
      <c r="L41" s="24"/>
    </row>
    <row r="42" spans="2:13" ht="24" thickBot="1" x14ac:dyDescent="0.6">
      <c r="B42" s="23" t="s">
        <v>170</v>
      </c>
      <c r="F42" s="1"/>
      <c r="J42" s="176">
        <f>calculation!E35</f>
        <v>1.02</v>
      </c>
      <c r="K42" s="20"/>
      <c r="L42" s="24"/>
    </row>
    <row r="43" spans="2:13" ht="13.5" customHeight="1" x14ac:dyDescent="0.35">
      <c r="B43" s="6" t="s">
        <v>169</v>
      </c>
      <c r="F43" s="1"/>
      <c r="J43" s="18"/>
      <c r="K43" s="20"/>
      <c r="L43" s="20"/>
    </row>
    <row r="44" spans="2:13" ht="7.5" customHeight="1" thickBot="1" x14ac:dyDescent="0.4">
      <c r="B44" s="175"/>
      <c r="F44" s="1"/>
      <c r="J44" s="18"/>
      <c r="K44" s="20"/>
      <c r="L44" s="20"/>
    </row>
    <row r="45" spans="2:13" ht="16" thickBot="1" x14ac:dyDescent="0.4">
      <c r="B45" s="23" t="s">
        <v>148</v>
      </c>
      <c r="I45" s="18" t="s">
        <v>141</v>
      </c>
      <c r="J45" s="26" t="str">
        <f>IF(K40&lt;-0.1,"X","")</f>
        <v/>
      </c>
      <c r="K45" s="18" t="s">
        <v>140</v>
      </c>
      <c r="L45" s="156" t="str">
        <f>IF(K40&gt;0,"X","")</f>
        <v>X</v>
      </c>
    </row>
    <row r="46" spans="2:13" ht="15.5" x14ac:dyDescent="0.35">
      <c r="B46" s="11"/>
    </row>
    <row r="47" spans="2:13" ht="18.5" x14ac:dyDescent="0.45">
      <c r="B47" s="165" t="s">
        <v>151</v>
      </c>
    </row>
    <row r="48" spans="2:13" ht="12" customHeight="1" x14ac:dyDescent="0.35">
      <c r="B48" s="7"/>
    </row>
    <row r="49" spans="2:12" ht="10.5" customHeight="1" x14ac:dyDescent="0.35">
      <c r="B49" s="14"/>
      <c r="J49" s="18"/>
      <c r="L49" s="22"/>
    </row>
    <row r="50" spans="2:12" ht="15.5" x14ac:dyDescent="0.35">
      <c r="B50" s="6" t="s">
        <v>152</v>
      </c>
      <c r="J50" s="18" t="s">
        <v>59</v>
      </c>
      <c r="K50" s="170">
        <f>calculation!E38</f>
        <v>2567</v>
      </c>
      <c r="L50" s="22" t="s">
        <v>150</v>
      </c>
    </row>
    <row r="51" spans="2:12" ht="15.5" x14ac:dyDescent="0.35">
      <c r="B51" s="6" t="s">
        <v>153</v>
      </c>
      <c r="J51" s="18" t="s">
        <v>60</v>
      </c>
      <c r="K51" s="171">
        <f>calculation!E39</f>
        <v>0</v>
      </c>
      <c r="L51" s="22"/>
    </row>
    <row r="52" spans="2:12" ht="9.75" customHeight="1" thickBot="1" x14ac:dyDescent="0.4">
      <c r="B52" s="7" t="s">
        <v>50</v>
      </c>
      <c r="J52" s="18"/>
      <c r="L52" s="22"/>
    </row>
    <row r="53" spans="2:12" ht="16" thickBot="1" x14ac:dyDescent="0.4">
      <c r="B53" s="23" t="s">
        <v>160</v>
      </c>
      <c r="J53" s="18" t="s">
        <v>61</v>
      </c>
      <c r="K53" s="173">
        <f>K31-K50</f>
        <v>-267</v>
      </c>
      <c r="L53" s="22" t="s">
        <v>65</v>
      </c>
    </row>
    <row r="54" spans="2:12" ht="6" customHeight="1" thickBot="1" x14ac:dyDescent="0.4">
      <c r="B54" s="23"/>
      <c r="J54" s="18"/>
      <c r="K54" s="1"/>
      <c r="L54" s="22"/>
    </row>
    <row r="55" spans="2:12" ht="16" thickBot="1" x14ac:dyDescent="0.4">
      <c r="B55" s="23" t="s">
        <v>161</v>
      </c>
      <c r="J55" s="18" t="s">
        <v>62</v>
      </c>
      <c r="K55" s="174">
        <f>K53/K50</f>
        <v>-0.10401246591351772</v>
      </c>
      <c r="L55" s="22"/>
    </row>
    <row r="56" spans="2:12" ht="6" customHeight="1" thickBot="1" x14ac:dyDescent="0.4">
      <c r="B56" s="6"/>
      <c r="J56" s="18"/>
      <c r="K56" s="1"/>
      <c r="L56" s="22"/>
    </row>
    <row r="57" spans="2:12" ht="16" thickBot="1" x14ac:dyDescent="0.4">
      <c r="B57" s="23" t="s">
        <v>154</v>
      </c>
      <c r="J57" s="18" t="s">
        <v>63</v>
      </c>
      <c r="K57" s="172">
        <f>K33-K51</f>
        <v>0</v>
      </c>
      <c r="L57" s="22"/>
    </row>
    <row r="58" spans="2:12" ht="6" customHeight="1" thickBot="1" x14ac:dyDescent="0.4">
      <c r="B58" s="6"/>
      <c r="J58" s="18"/>
      <c r="K58" s="1"/>
      <c r="L58" s="22"/>
    </row>
    <row r="59" spans="2:12" ht="16" thickBot="1" x14ac:dyDescent="0.4">
      <c r="B59" s="23" t="s">
        <v>155</v>
      </c>
      <c r="J59" s="18" t="s">
        <v>64</v>
      </c>
      <c r="K59" s="172">
        <f>1/(K50*(1+K51)/K31/(1+K33))-1</f>
        <v>-0.10401246591351765</v>
      </c>
      <c r="L59" s="22"/>
    </row>
  </sheetData>
  <sheetProtection algorithmName="SHA-512" hashValue="RJPcU+sX3EKJSs37x6vZzWLY6b5OhPtFmIbNrCdjMO30sczo50uHnQKceVfDoBMDQMIdUIMe42TGbTRwGOCjcA==" saltValue="TmXjwFRYPzAXb44BxE3Z+g==" spinCount="100000" sheet="1" selectLockedCells="1"/>
  <mergeCells count="5">
    <mergeCell ref="B15:L15"/>
    <mergeCell ref="B19:L19"/>
    <mergeCell ref="J14:L14"/>
    <mergeCell ref="B2:L2"/>
    <mergeCell ref="K12:L12"/>
  </mergeCells>
  <conditionalFormatting sqref="F40">
    <cfRule type="cellIs" dxfId="2" priority="3" operator="between">
      <formula>-100</formula>
      <formula>0</formula>
    </cfRule>
  </conditionalFormatting>
  <conditionalFormatting sqref="K40">
    <cfRule type="cellIs" dxfId="1" priority="2" operator="between">
      <formula>-100</formula>
      <formula>0</formula>
    </cfRule>
  </conditionalFormatting>
  <conditionalFormatting sqref="K49:K59">
    <cfRule type="cellIs" dxfId="0" priority="1" operator="between">
      <formula>-10000</formula>
      <formula>-0.0001</formula>
    </cfRule>
  </conditionalFormatting>
  <printOptions horizontalCentered="1" verticalCentered="1"/>
  <pageMargins left="0.11811023622047245" right="0.11811023622047245" top="0.15748031496062992" bottom="0.15748031496062992" header="0" footer="0.11811023622047245"/>
  <pageSetup scale="81" orientation="portrait" r:id="rId1"/>
  <headerFooter>
    <oddFooter>&amp;C&amp;1#&amp;"Arial"&amp;6&amp;K626469Internal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1:D51"/>
  <sheetViews>
    <sheetView topLeftCell="A6" zoomScale="60" zoomScaleNormal="60" workbookViewId="0">
      <selection activeCell="G80" sqref="G80"/>
    </sheetView>
  </sheetViews>
  <sheetFormatPr baseColWidth="10" defaultColWidth="11.453125" defaultRowHeight="14.5" x14ac:dyDescent="0.35"/>
  <cols>
    <col min="1" max="16384" width="11.453125" style="70"/>
  </cols>
  <sheetData>
    <row r="21" spans="3:4" ht="18.5" x14ac:dyDescent="0.45">
      <c r="C21" s="83"/>
    </row>
    <row r="22" spans="3:4" ht="18.5" x14ac:dyDescent="0.45">
      <c r="D22" s="84"/>
    </row>
    <row r="43" spans="2:3" ht="18.5" x14ac:dyDescent="0.45">
      <c r="B43" s="83"/>
    </row>
    <row r="44" spans="2:3" ht="18.5" x14ac:dyDescent="0.45">
      <c r="C44" s="84"/>
    </row>
    <row r="48" spans="2:3" x14ac:dyDescent="0.35">
      <c r="B48" s="71" t="s">
        <v>156</v>
      </c>
    </row>
    <row r="49" spans="2:2" x14ac:dyDescent="0.35">
      <c r="B49" s="70" t="s">
        <v>157</v>
      </c>
    </row>
    <row r="50" spans="2:2" x14ac:dyDescent="0.35">
      <c r="B50" s="71"/>
    </row>
    <row r="51" spans="2:2" x14ac:dyDescent="0.35">
      <c r="B51" s="70" t="s">
        <v>171</v>
      </c>
    </row>
  </sheetData>
  <sheetProtection algorithmName="SHA-512" hashValue="bAxNCeH83YjKpMocgssVHBSesuj1vN8gORDyULIqKLDMZMav9t+PXXUROGBjG7bFrcFtc+c7QA3s4WwuJkotUw==" saltValue="TLSb+gz57Z2zfzJP61+7Fw==" spinCount="100000" sheet="1" selectLockedCells="1" selectUnlockedCells="1"/>
  <pageMargins left="0.31496062992125984" right="0.31496062992125984" top="0.15748031496062992" bottom="0.15748031496062992" header="0.11811023622047244" footer="0.11811023622047244"/>
  <pageSetup paperSize="9" scale="47" orientation="portrait" r:id="rId1"/>
  <headerFooter>
    <oddFooter>&amp;C&amp;1#&amp;"Arial"&amp;6&amp;K626469Internal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8:E95"/>
  <sheetViews>
    <sheetView topLeftCell="A40" zoomScale="55" zoomScaleNormal="55" workbookViewId="0">
      <selection activeCell="M104" sqref="M104"/>
    </sheetView>
  </sheetViews>
  <sheetFormatPr baseColWidth="10" defaultColWidth="11.453125" defaultRowHeight="14.5" x14ac:dyDescent="0.35"/>
  <cols>
    <col min="1" max="5" width="11.453125" style="72"/>
    <col min="6" max="6" width="8.26953125" style="72" customWidth="1"/>
    <col min="7" max="7" width="11.453125" style="72"/>
    <col min="8" max="8" width="8.26953125" style="72" customWidth="1"/>
    <col min="9" max="16384" width="11.453125" style="72"/>
  </cols>
  <sheetData>
    <row r="18" spans="4:5" ht="18.5" x14ac:dyDescent="0.45">
      <c r="E18" s="85"/>
    </row>
    <row r="19" spans="4:5" ht="15.5" x14ac:dyDescent="0.35">
      <c r="E19" s="86"/>
    </row>
    <row r="22" spans="4:5" ht="15.5" x14ac:dyDescent="0.35">
      <c r="D22" s="87" t="s">
        <v>81</v>
      </c>
    </row>
    <row r="51" spans="1:5" ht="18.5" x14ac:dyDescent="0.45">
      <c r="E51" s="85"/>
    </row>
    <row r="52" spans="1:5" ht="15.5" x14ac:dyDescent="0.35">
      <c r="D52" s="87"/>
    </row>
    <row r="53" spans="1:5" ht="15.5" x14ac:dyDescent="0.35">
      <c r="E53" s="86"/>
    </row>
    <row r="59" spans="1:5" ht="15" customHeight="1" x14ac:dyDescent="0.35">
      <c r="A59" s="79"/>
      <c r="D59" s="73"/>
    </row>
    <row r="60" spans="1:5" x14ac:dyDescent="0.35">
      <c r="A60" s="79"/>
      <c r="C60" s="75"/>
      <c r="D60" s="74"/>
    </row>
    <row r="61" spans="1:5" x14ac:dyDescent="0.35">
      <c r="A61" s="79"/>
    </row>
    <row r="62" spans="1:5" x14ac:dyDescent="0.35">
      <c r="A62" s="80"/>
      <c r="C62" s="75"/>
    </row>
    <row r="63" spans="1:5" x14ac:dyDescent="0.35">
      <c r="A63" s="79"/>
    </row>
    <row r="89" spans="3:5" x14ac:dyDescent="0.35">
      <c r="C89" s="71" t="s">
        <v>156</v>
      </c>
      <c r="D89" s="74"/>
      <c r="E89" s="70"/>
    </row>
    <row r="90" spans="3:5" x14ac:dyDescent="0.35">
      <c r="C90" s="70" t="s">
        <v>158</v>
      </c>
      <c r="D90" s="70"/>
      <c r="E90" s="70"/>
    </row>
    <row r="91" spans="3:5" x14ac:dyDescent="0.35">
      <c r="C91" s="71" t="s">
        <v>159</v>
      </c>
      <c r="D91" s="70"/>
      <c r="E91" s="70"/>
    </row>
    <row r="92" spans="3:5" x14ac:dyDescent="0.35">
      <c r="C92" s="70" t="s">
        <v>172</v>
      </c>
      <c r="D92" s="70"/>
      <c r="E92" s="70"/>
    </row>
    <row r="95" spans="3:5" x14ac:dyDescent="0.35">
      <c r="C95" s="70"/>
      <c r="D95" s="70"/>
      <c r="E95" s="70"/>
    </row>
  </sheetData>
  <sheetProtection algorithmName="SHA-512" hashValue="8sr0MN5UaQ/FhdgL+PoVhzsHF7mZnHYszxiR8FCG3XKPcFs2sPHhTZwoCevE2y8nHfL/q2zYnTO/Eq7IYcAYBw==" saltValue="UFrFxGjyMgUftrOapOc7sQ==" spinCount="100000" sheet="1" selectLockedCells="1" selectUnlockedCells="1"/>
  <printOptions horizontalCentered="1" verticalCentered="1"/>
  <pageMargins left="0.31496062992125984" right="0.31496062992125984" top="0.19685039370078741" bottom="0.15748031496062992" header="0.11811023622047245" footer="0.11811023622047245"/>
  <pageSetup paperSize="9" scale="63" orientation="portrait" r:id="rId1"/>
  <headerFooter>
    <oddFooter>&amp;C&amp;1#&amp;"Arial"&amp;6&amp;K626469Internal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75466F1FCC5A4083280BF0AA5FDDB5" ma:contentTypeVersion="10" ma:contentTypeDescription="Create a new document." ma:contentTypeScope="" ma:versionID="bdd67b3985639f97b8f62567715015bb">
  <xsd:schema xmlns:xsd="http://www.w3.org/2001/XMLSchema" xmlns:xs="http://www.w3.org/2001/XMLSchema" xmlns:p="http://schemas.microsoft.com/office/2006/metadata/properties" xmlns:ns3="7df8bd21-6d6f-4018-baa6-1c9896eaccae" targetNamespace="http://schemas.microsoft.com/office/2006/metadata/properties" ma:root="true" ma:fieldsID="156a065437a70976321df4418fa189a2" ns3:_="">
    <xsd:import namespace="7df8bd21-6d6f-4018-baa6-1c9896eacca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f8bd21-6d6f-4018-baa6-1c9896eacc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D0A9DE-9910-4A99-AA9D-783DFCB022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f8bd21-6d6f-4018-baa6-1c9896eac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4A8C16-181B-4DBE-8213-93EF4A55506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A9AB8ED-32DB-48CE-94A4-60BAC1E6E5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calculation</vt:lpstr>
      <vt:lpstr>Données</vt:lpstr>
      <vt:lpstr>Summary sheet to print</vt:lpstr>
      <vt:lpstr>OATAM's Tables</vt:lpstr>
      <vt:lpstr>I&amp;C'sTables</vt:lpstr>
    </vt:vector>
  </TitlesOfParts>
  <Company>Schneider Electric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CFTC</dc:creator>
  <cp:lastModifiedBy>Francois SOENEN</cp:lastModifiedBy>
  <cp:lastPrinted>2018-10-12T09:00:35Z</cp:lastPrinted>
  <dcterms:created xsi:type="dcterms:W3CDTF">2016-02-29T15:58:51Z</dcterms:created>
  <dcterms:modified xsi:type="dcterms:W3CDTF">2022-12-21T17:10:04Z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0x010100D775466F1FCC5A4083280BF0AA5FDDB5</vt:lpwstr>
  </property>
  <property fmtid="{D5CDD505-2E9C-101B-9397-08002B2CF9AE}" pid="3" name="MSIP_Label_23f93e5f-d3c2-49a7-ba94-15405423c204_Enabled">
    <vt:lpwstr>true</vt:lpwstr>
  </property>
  <property fmtid="{D5CDD505-2E9C-101B-9397-08002B2CF9AE}" pid="4" name="MSIP_Label_23f93e5f-d3c2-49a7-ba94-15405423c204_SetDate">
    <vt:lpwstr>2022-12-21T17:10:04Z</vt:lpwstr>
  </property>
  <property fmtid="{D5CDD505-2E9C-101B-9397-08002B2CF9AE}" pid="5" name="MSIP_Label_23f93e5f-d3c2-49a7-ba94-15405423c204_Method">
    <vt:lpwstr>Standard</vt:lpwstr>
  </property>
  <property fmtid="{D5CDD505-2E9C-101B-9397-08002B2CF9AE}" pid="6" name="MSIP_Label_23f93e5f-d3c2-49a7-ba94-15405423c204_Name">
    <vt:lpwstr>SE Internal</vt:lpwstr>
  </property>
  <property fmtid="{D5CDD505-2E9C-101B-9397-08002B2CF9AE}" pid="7" name="MSIP_Label_23f93e5f-d3c2-49a7-ba94-15405423c204_SiteId">
    <vt:lpwstr>6e51e1ad-c54b-4b39-b598-0ffe9ae68fef</vt:lpwstr>
  </property>
  <property fmtid="{D5CDD505-2E9C-101B-9397-08002B2CF9AE}" pid="8" name="MSIP_Label_23f93e5f-d3c2-49a7-ba94-15405423c204_ActionId">
    <vt:lpwstr>11520693-aa36-41b1-ab36-62bc951de8dd</vt:lpwstr>
  </property>
  <property fmtid="{D5CDD505-2E9C-101B-9397-08002B2CF9AE}" pid="9" name="MSIP_Label_23f93e5f-d3c2-49a7-ba94-15405423c204_ContentBits">
    <vt:lpwstr>2</vt:lpwstr>
  </property>
</Properties>
</file>