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SESA52629\Box\Perso Olivier\Syndi\Jobmetre\"/>
    </mc:Choice>
  </mc:AlternateContent>
  <xr:revisionPtr revIDLastSave="0" documentId="13_ncr:1_{B2214538-FE00-49D1-B4BA-6546D04D5C8D}" xr6:coauthVersionLast="45" xr6:coauthVersionMax="46" xr10:uidLastSave="{00000000-0000-0000-0000-000000000000}"/>
  <workbookProtection workbookAlgorithmName="SHA-512" workbookHashValue="aLqy6/E4X1TPRf9Dl3Hl6An/rdlRzYq6bD+PNg3y7V+uysz8e4Z4cp891o1OLMCPYWMSMas+tIE65taPp+BnbA==" workbookSaltValue="A8n6cOlocFiXtPGji4sjOg==" workbookSpinCount="100000" lockStructure="1"/>
  <bookViews>
    <workbookView xWindow="-108" yWindow="-108" windowWidth="23256" windowHeight="12576" xr2:uid="{00000000-000D-0000-FFFF-FFFF00000000}"/>
  </bookViews>
  <sheets>
    <sheet name="calcul" sheetId="1" r:id="rId1"/>
    <sheet name="Données" sheetId="3" state="hidden" r:id="rId2"/>
    <sheet name="Synthèse à imprimer" sheetId="5" r:id="rId3"/>
    <sheet name="Tableaux OATAM" sheetId="7" r:id="rId4"/>
    <sheet name="Tableaux I&amp;C" sheetId="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1" l="1"/>
  <c r="J14" i="5" s="1"/>
  <c r="K12" i="5" l="1"/>
  <c r="F24" i="1"/>
  <c r="E29" i="1"/>
  <c r="K33" i="5"/>
  <c r="K31" i="5"/>
  <c r="K23" i="5"/>
  <c r="K10" i="5"/>
  <c r="K8" i="5"/>
  <c r="G6" i="5"/>
  <c r="H4" i="5"/>
  <c r="C4" i="5"/>
  <c r="K35" i="5"/>
  <c r="G12" i="1"/>
  <c r="D12" i="1"/>
  <c r="G13" i="1"/>
  <c r="D13" i="1"/>
  <c r="E5" i="1"/>
  <c r="D19" i="1" s="1"/>
  <c r="A19" i="1" s="1"/>
  <c r="E32" i="1"/>
  <c r="E27" i="1"/>
  <c r="E39" i="1"/>
  <c r="K48" i="5"/>
  <c r="E38" i="1"/>
  <c r="E61" i="3"/>
  <c r="E60" i="3"/>
  <c r="E52" i="3"/>
  <c r="E47" i="3"/>
  <c r="E44" i="3"/>
  <c r="D35" i="3"/>
  <c r="E31" i="3"/>
  <c r="F19" i="3"/>
  <c r="C23" i="3"/>
  <c r="D18" i="3"/>
  <c r="D17" i="3"/>
  <c r="D16" i="3"/>
  <c r="D15" i="3"/>
  <c r="D9" i="3"/>
  <c r="D10" i="3"/>
  <c r="D11" i="3"/>
  <c r="D12" i="3"/>
  <c r="D13" i="3"/>
  <c r="D14" i="3"/>
  <c r="O6" i="3"/>
  <c r="N7" i="3"/>
  <c r="N4" i="3"/>
  <c r="N3" i="3"/>
  <c r="K47" i="5"/>
  <c r="K56" i="5"/>
  <c r="E40" i="1"/>
  <c r="K38" i="5"/>
  <c r="E34" i="1"/>
  <c r="F40" i="5"/>
  <c r="K25" i="5"/>
  <c r="K54" i="5"/>
  <c r="F13" i="1"/>
  <c r="F12" i="1"/>
  <c r="E62" i="3"/>
  <c r="E64" i="3"/>
  <c r="E49" i="3"/>
  <c r="E50" i="3"/>
  <c r="E54" i="3"/>
  <c r="N6" i="3"/>
  <c r="B33" i="3"/>
  <c r="K50" i="5"/>
  <c r="K52" i="5"/>
  <c r="G34" i="1"/>
  <c r="K40" i="5"/>
  <c r="E35" i="1"/>
  <c r="E42" i="1"/>
  <c r="G42" i="1"/>
  <c r="J42" i="5"/>
  <c r="L42" i="5"/>
  <c r="G27" i="1" l="1"/>
  <c r="J27" i="5" s="1"/>
  <c r="L27" i="5" l="1"/>
</calcChain>
</file>

<file path=xl/sharedStrings.xml><?xml version="1.0" encoding="utf-8"?>
<sst xmlns="http://schemas.openxmlformats.org/spreadsheetml/2006/main" count="196" uniqueCount="159">
  <si>
    <t>IC ou OATAM</t>
  </si>
  <si>
    <t>Catégorie Socio-professionnelle</t>
  </si>
  <si>
    <t>Goupe de poste ou grade pour les IC</t>
  </si>
  <si>
    <t>IC</t>
  </si>
  <si>
    <t>ATAM</t>
  </si>
  <si>
    <t>Nb d'année dans le poste actuel</t>
  </si>
  <si>
    <t>Notes obtenue</t>
  </si>
  <si>
    <t>Date</t>
  </si>
  <si>
    <t>Moyenne</t>
  </si>
  <si>
    <t>OATAM</t>
  </si>
  <si>
    <t>Quel est votre coefficient (OATAM) ou votre classification (IC)</t>
  </si>
  <si>
    <t>maîtrise</t>
  </si>
  <si>
    <t>Rappel</t>
  </si>
  <si>
    <t>accueil</t>
  </si>
  <si>
    <t>Spécialiste</t>
  </si>
  <si>
    <t>Salaire min</t>
  </si>
  <si>
    <t>salaire max</t>
  </si>
  <si>
    <t>Salaire Moyen SEI SEF</t>
  </si>
  <si>
    <t>IC : 1</t>
  </si>
  <si>
    <t>IC : 2</t>
  </si>
  <si>
    <t>IC : 3A</t>
  </si>
  <si>
    <t>IC : 3B</t>
  </si>
  <si>
    <t>IC : 3C</t>
  </si>
  <si>
    <t>OATAM : quel est votre groupe de poste</t>
  </si>
  <si>
    <t>IC : quel est votre grade</t>
  </si>
  <si>
    <t>Coefficient de maîtrise pour votre grade</t>
  </si>
  <si>
    <t>Case à remplir</t>
  </si>
  <si>
    <t>Case calculée</t>
  </si>
  <si>
    <t>Indiquez votre Salaire Mensuel de Base Brut (SMB) €/mois</t>
  </si>
  <si>
    <t>Ajoutez votre éventuel Taux de Bonus cible (%)</t>
  </si>
  <si>
    <t>Sans les primes fixes ou d'ancienneté</t>
  </si>
  <si>
    <t>==&gt; Votre salaire annuel brut Bonus compris (SAB) - k€/an</t>
  </si>
  <si>
    <t>k€/an</t>
  </si>
  <si>
    <t>Ecart salarial dans le poste par rapport au Salaire Médian du Marché</t>
  </si>
  <si>
    <t>Ecart salarial dans le poste par rapport au Salaire Moyen du Marché</t>
  </si>
  <si>
    <t xml:space="preserve">Le salaire médian du marché </t>
  </si>
  <si>
    <t>Le  salaire moyen SEI/SEF pour votre cotation de poste</t>
  </si>
  <si>
    <t>Ouvriers</t>
  </si>
  <si>
    <t>Ouvrier</t>
  </si>
  <si>
    <t>Comparaison avec le salaire moyen de Schneider à une qualification donnée</t>
  </si>
  <si>
    <t>Ecart de votre salaire avec le salaire moyen chez =S= pour votre qualification</t>
  </si>
  <si>
    <t>Le cas échéant Bonus Moyen</t>
  </si>
  <si>
    <t>Salaire mensuel moyen Schneider de votre qualification</t>
  </si>
  <si>
    <t>Salaire annuel moyen Schneider pour votre qualification</t>
  </si>
  <si>
    <t>Compa ratio</t>
  </si>
  <si>
    <t>Goupe de poste pour les OATAM ou grade pour les IC</t>
  </si>
  <si>
    <t>Nb d'année(s) dans le poste actuel</t>
  </si>
  <si>
    <t>A remplir</t>
  </si>
  <si>
    <t>calcul</t>
  </si>
  <si>
    <t>Données à remplir</t>
  </si>
  <si>
    <t>Evaluation</t>
  </si>
  <si>
    <t>Très performant</t>
  </si>
  <si>
    <t>Performant</t>
  </si>
  <si>
    <t>Compétent</t>
  </si>
  <si>
    <t>Non Performant</t>
  </si>
  <si>
    <t>CFTC Schneider Electric</t>
  </si>
  <si>
    <t>Pour les IC et certains ATAM, Taux de Bonus (STIP) cible (%)</t>
  </si>
  <si>
    <t>Quel est votre coefficient (OATAM) ou votre position (IC)</t>
  </si>
  <si>
    <t>Le salaire médian du marché  pour votre groupe de poste ou grade</t>
  </si>
  <si>
    <t>Comparez votre salaire avec le prix de marché du poste (salaire de maîtrise de la quotation)</t>
  </si>
  <si>
    <t>Calculs de votre qualification</t>
  </si>
  <si>
    <t>Qualification de maîtrise pour votre groupe de poste ou votre grade</t>
  </si>
  <si>
    <t>Votre  Compa ratio (Rapport entre votre salaire Brut et le salaire de marché)</t>
  </si>
  <si>
    <t>Synthèse pour réviser votre situation en s’appuyant sur votre valeur effective</t>
  </si>
  <si>
    <t>Somme des notes de 1 à 5 obtenues à chaque entretien, divisée par le nombre d’entretiens liés au poste, par ex. : (3+3+2+4)/4 = 3</t>
  </si>
  <si>
    <t>Eléments indicatifs de mesure :</t>
  </si>
  <si>
    <r>
      <t>0 à 2 ans</t>
    </r>
    <r>
      <rPr>
        <i/>
        <sz val="10"/>
        <color rgb="FF000000"/>
        <rFont val="Calibri"/>
        <family val="2"/>
      </rPr>
      <t xml:space="preserve"> quelle que soit la performance (sauf performance exceptionnelle)  = </t>
    </r>
    <r>
      <rPr>
        <b/>
        <i/>
        <sz val="10"/>
        <color rgb="FF000000"/>
        <rFont val="Calibri"/>
        <family val="2"/>
      </rPr>
      <t>accueil</t>
    </r>
    <r>
      <rPr>
        <i/>
        <sz val="10"/>
        <color rgb="FF000000"/>
        <rFont val="Calibri"/>
        <family val="2"/>
      </rPr>
      <t xml:space="preserve"> = débutant,  en acquisition de compétences, </t>
    </r>
  </si>
  <si>
    <r>
      <t xml:space="preserve">3 à 5 ans d’expérience avec note moyenne </t>
    </r>
    <r>
      <rPr>
        <b/>
        <i/>
        <u/>
        <sz val="10"/>
        <color rgb="FF000000"/>
        <rFont val="Calibri"/>
        <family val="2"/>
      </rPr>
      <t>&gt;</t>
    </r>
    <r>
      <rPr>
        <b/>
        <i/>
        <sz val="10"/>
        <color rgb="FF000000"/>
        <rFont val="Calibri"/>
        <family val="2"/>
      </rPr>
      <t xml:space="preserve"> 3 : maîtrise</t>
    </r>
    <r>
      <rPr>
        <i/>
        <sz val="10"/>
        <color rgb="FF000000"/>
        <rFont val="Calibri"/>
        <family val="2"/>
      </rPr>
      <t>. Nota : par « maîtrise » l’entreprise entend également « autonomie ».</t>
    </r>
  </si>
  <si>
    <t>Négociez une promotion, pour une qualification en cohérence avec la bonne tenue du poste :</t>
  </si>
  <si>
    <r>
      <t xml:space="preserve">Qualification qui correspondrait au niveau actuel estimé de tenue du poste </t>
    </r>
    <r>
      <rPr>
        <sz val="12"/>
        <color rgb="FF000000"/>
        <rFont val="Calibri"/>
        <family val="2"/>
      </rPr>
      <t xml:space="preserve">(voir § 2) </t>
    </r>
    <r>
      <rPr>
        <b/>
        <sz val="12"/>
        <color rgb="FF000000"/>
        <rFont val="Calibri"/>
        <family val="2"/>
      </rPr>
      <t xml:space="preserve">:  </t>
    </r>
    <r>
      <rPr>
        <sz val="12"/>
        <color rgb="FF000000"/>
        <rFont val="Calibri"/>
        <family val="2"/>
      </rPr>
      <t xml:space="preserve">                </t>
    </r>
  </si>
  <si>
    <t>Négociez une augmentation, pour une rémunération en phase avec celle du marché :</t>
  </si>
  <si>
    <t>[OATAM : Salaire Mensuel de Base brut € x 12/1000, Vendeurs et IC : Salaire Mensuel de Base brut € x 12 x (1+TBC/100) /1000]</t>
  </si>
  <si>
    <r>
      <t xml:space="preserve"> </t>
    </r>
    <r>
      <rPr>
        <sz val="2"/>
        <color rgb="FF000000"/>
        <rFont val="Calibri"/>
        <family val="2"/>
      </rPr>
      <t xml:space="preserve">     </t>
    </r>
  </si>
  <si>
    <t xml:space="preserve">NOM :  </t>
  </si>
  <si>
    <t xml:space="preserve">Intitulé et / ou job code du poste occupé :  </t>
  </si>
  <si>
    <t xml:space="preserve">A = </t>
  </si>
  <si>
    <t xml:space="preserve">G = </t>
  </si>
  <si>
    <r>
      <t xml:space="preserve">Cotation du poste </t>
    </r>
    <r>
      <rPr>
        <sz val="12"/>
        <color rgb="FF000000"/>
        <rFont val="Calibri"/>
        <family val="2"/>
      </rPr>
      <t xml:space="preserve">(OATAM : groupe de 6 à 18, I&amp;C : grade de 4 à 10) </t>
    </r>
    <r>
      <rPr>
        <b/>
        <sz val="12"/>
        <color rgb="FF000000"/>
        <rFont val="Calibri"/>
        <family val="2"/>
      </rPr>
      <t xml:space="preserve">: </t>
    </r>
  </si>
  <si>
    <r>
      <t>Nombre d’années d’expérience dans le poste actuel</t>
    </r>
    <r>
      <rPr>
        <sz val="12"/>
        <color rgb="FF000000"/>
        <rFont val="Calibri"/>
        <family val="2"/>
      </rPr>
      <t xml:space="preserve"> </t>
    </r>
    <r>
      <rPr>
        <b/>
        <sz val="12"/>
        <color rgb="FF000000"/>
        <rFont val="Calibri"/>
        <family val="2"/>
      </rPr>
      <t xml:space="preserve">:                     </t>
    </r>
    <r>
      <rPr>
        <sz val="12"/>
        <color rgb="FF000000"/>
        <rFont val="Calibri"/>
        <family val="2"/>
      </rPr>
      <t/>
    </r>
  </si>
  <si>
    <t xml:space="preserve"> ans</t>
  </si>
  <si>
    <r>
      <t>=&gt; Estimation du niveau de maîtrise du poste </t>
    </r>
    <r>
      <rPr>
        <sz val="12"/>
        <color rgb="FF0000FF"/>
        <rFont val="Calibri"/>
        <family val="2"/>
      </rPr>
      <t>(« débutant », « maîtrise », « expertise »)</t>
    </r>
    <r>
      <rPr>
        <b/>
        <sz val="12"/>
        <color rgb="FF0000FF"/>
        <rFont val="Calibri"/>
        <family val="2"/>
      </rPr>
      <t xml:space="preserve">                                                     </t>
    </r>
  </si>
  <si>
    <t xml:space="preserve">M : </t>
  </si>
  <si>
    <t xml:space="preserve">C/P = </t>
  </si>
  <si>
    <r>
      <t>Qualification actuelle</t>
    </r>
    <r>
      <rPr>
        <sz val="12"/>
        <color rgb="FF000000"/>
        <rFont val="Calibri"/>
        <family val="2"/>
      </rPr>
      <t xml:space="preserve"> (coefficient ou position) </t>
    </r>
    <r>
      <rPr>
        <b/>
        <sz val="12"/>
        <color rgb="FF000000"/>
        <rFont val="Calibri"/>
        <family val="2"/>
      </rPr>
      <t>:</t>
    </r>
  </si>
  <si>
    <r>
      <t xml:space="preserve">=&gt; Ecart de qualification à corriger (= Promotion) : </t>
    </r>
    <r>
      <rPr>
        <sz val="12"/>
        <color rgb="FF000000"/>
        <rFont val="Calibri"/>
        <family val="2"/>
      </rPr>
      <t xml:space="preserve">cocher oui / non) </t>
    </r>
    <r>
      <rPr>
        <b/>
        <sz val="12"/>
        <color rgb="FF000000"/>
        <rFont val="Calibri"/>
        <family val="2"/>
      </rPr>
      <t>:</t>
    </r>
  </si>
  <si>
    <t xml:space="preserve">OUI : </t>
  </si>
  <si>
    <t xml:space="preserve">NON : </t>
  </si>
  <si>
    <r>
      <t xml:space="preserve">Salaire Mensuel de Base brut </t>
    </r>
    <r>
      <rPr>
        <sz val="12"/>
        <color rgb="FF000000"/>
        <rFont val="Calibri"/>
        <family val="2"/>
      </rPr>
      <t>(sans les primes fixes ou d’ancienneté)</t>
    </r>
    <r>
      <rPr>
        <b/>
        <sz val="12"/>
        <color rgb="FF000000"/>
        <rFont val="Calibri"/>
        <family val="2"/>
      </rPr>
      <t> :</t>
    </r>
  </si>
  <si>
    <t>€/mois</t>
  </si>
  <si>
    <t xml:space="preserve">SMB = </t>
  </si>
  <si>
    <r>
      <t>=&gt; Salaire Annuel Brut</t>
    </r>
    <r>
      <rPr>
        <sz val="12"/>
        <color rgb="FF000000"/>
        <rFont val="Calibri"/>
        <family val="2"/>
      </rPr>
      <t xml:space="preserve"> (hors primes fixes ou d’ancienneté),</t>
    </r>
    <r>
      <rPr>
        <b/>
        <sz val="12"/>
        <color rgb="FF000000"/>
        <rFont val="Calibri"/>
        <family val="2"/>
      </rPr>
      <t xml:space="preserve"> bonus cible compris :</t>
    </r>
  </si>
  <si>
    <t xml:space="preserve">SAB = </t>
  </si>
  <si>
    <t xml:space="preserve">k€/an  </t>
  </si>
  <si>
    <r>
      <t xml:space="preserve">Eventuel Taux de Bonus Cible </t>
    </r>
    <r>
      <rPr>
        <sz val="12"/>
        <color rgb="FF000000"/>
        <rFont val="Calibri"/>
        <family val="2"/>
      </rPr>
      <t>(Force de vente, Ingénieurs et Cadres)</t>
    </r>
    <r>
      <rPr>
        <b/>
        <sz val="12"/>
        <color rgb="FF000000"/>
        <rFont val="Calibri"/>
        <family val="2"/>
      </rPr>
      <t> :</t>
    </r>
  </si>
  <si>
    <t xml:space="preserve">TBC = </t>
  </si>
  <si>
    <t xml:space="preserve">SMM = </t>
  </si>
  <si>
    <r>
      <t>Salaire Médian de Marché du poste selon sa cotation </t>
    </r>
    <r>
      <rPr>
        <sz val="12"/>
        <color rgb="FF000000"/>
        <rFont val="Calibri"/>
        <family val="2"/>
      </rPr>
      <t xml:space="preserve">(voir espaces de salaire § 3) </t>
    </r>
    <r>
      <rPr>
        <b/>
        <sz val="12"/>
        <color rgb="FF000000"/>
        <rFont val="Calibri"/>
        <family val="2"/>
      </rPr>
      <t xml:space="preserve">: </t>
    </r>
  </si>
  <si>
    <r>
      <t>=&gt; Ecart à corriger </t>
    </r>
    <r>
      <rPr>
        <sz val="12"/>
        <color rgb="FF000000"/>
        <rFont val="Calibri"/>
        <family val="2"/>
      </rPr>
      <t xml:space="preserve">(selon le niveau actuel de tenue du poste, cocher oui / non) </t>
    </r>
    <r>
      <rPr>
        <b/>
        <sz val="12"/>
        <color rgb="FF000000"/>
        <rFont val="Calibri"/>
        <family val="2"/>
      </rPr>
      <t>:</t>
    </r>
  </si>
  <si>
    <r>
      <t>=&gt; Ecart salarial du poste, ESP</t>
    </r>
    <r>
      <rPr>
        <sz val="12"/>
        <color rgb="FF000000"/>
        <rFont val="Calibri"/>
        <family val="2"/>
      </rPr>
      <t xml:space="preserve"> = SAB - SMM </t>
    </r>
    <r>
      <rPr>
        <b/>
        <sz val="12"/>
        <color rgb="FF000000"/>
        <rFont val="Calibri"/>
        <family val="2"/>
      </rPr>
      <t>:      +/-</t>
    </r>
    <r>
      <rPr>
        <sz val="12"/>
        <color rgb="FF000000"/>
        <rFont val="Calibri"/>
        <family val="2"/>
      </rPr>
      <t xml:space="preserve"> </t>
    </r>
  </si>
  <si>
    <r>
      <t xml:space="preserve">k€, </t>
    </r>
    <r>
      <rPr>
        <sz val="12"/>
        <color theme="1"/>
        <rFont val="Calibri"/>
        <family val="2"/>
        <scheme val="minor"/>
      </rPr>
      <t>soit</t>
    </r>
    <r>
      <rPr>
        <b/>
        <sz val="12"/>
        <color theme="1"/>
        <rFont val="Calibri"/>
        <family val="2"/>
        <scheme val="minor"/>
      </rPr>
      <t xml:space="preserve"> en pourcent, </t>
    </r>
    <r>
      <rPr>
        <sz val="12"/>
        <color theme="1"/>
        <rFont val="Calibri"/>
        <family val="2"/>
        <scheme val="minor"/>
      </rPr>
      <t xml:space="preserve">ESPx100/SMM = </t>
    </r>
    <r>
      <rPr>
        <b/>
        <sz val="12"/>
        <color theme="1"/>
        <rFont val="Calibri"/>
        <family val="2"/>
        <scheme val="minor"/>
      </rPr>
      <t xml:space="preserve"> +/-</t>
    </r>
  </si>
  <si>
    <r>
      <t xml:space="preserve">Salaire Moyen des salariés de même coefficient ou position </t>
    </r>
    <r>
      <rPr>
        <sz val="12"/>
        <color rgb="FF000000"/>
        <rFont val="Calibri"/>
        <family val="2"/>
      </rPr>
      <t>(voir tableaux § 4-2)</t>
    </r>
    <r>
      <rPr>
        <b/>
        <sz val="12"/>
        <color rgb="FF000000"/>
        <rFont val="Calibri"/>
        <family val="2"/>
      </rPr>
      <t/>
    </r>
  </si>
  <si>
    <t xml:space="preserve"> €/mois     </t>
  </si>
  <si>
    <t xml:space="preserve"> SM SEI-SEF = </t>
  </si>
  <si>
    <r>
      <t xml:space="preserve">Taux de Bonus Cible Moyen force de vente ou IC de même position </t>
    </r>
    <r>
      <rPr>
        <sz val="12"/>
        <color rgb="FF000000"/>
        <rFont val="Calibri"/>
        <family val="2"/>
      </rPr>
      <t>(voir tableaux § 4-2) :</t>
    </r>
    <r>
      <rPr>
        <b/>
        <sz val="12"/>
        <color rgb="FF000000"/>
        <rFont val="Calibri"/>
        <family val="2"/>
      </rPr>
      <t/>
    </r>
  </si>
  <si>
    <t xml:space="preserve">            TBM = </t>
  </si>
  <si>
    <r>
      <t xml:space="preserve">=&gt; Votre Ecart de Salaire avec Salariés en € </t>
    </r>
    <r>
      <rPr>
        <sz val="12"/>
        <color rgb="FF000000"/>
        <rFont val="Calibri"/>
        <family val="2"/>
      </rPr>
      <t xml:space="preserve">(SMB – SM SEI-SEF de même coef. ou position): </t>
    </r>
    <r>
      <rPr>
        <b/>
        <sz val="12"/>
        <color rgb="FF000000"/>
        <rFont val="Calibri"/>
        <family val="2"/>
      </rPr>
      <t/>
    </r>
  </si>
  <si>
    <t xml:space="preserve">ESS = +/- </t>
  </si>
  <si>
    <t xml:space="preserve">ESB = +/- </t>
  </si>
  <si>
    <t xml:space="preserve">EBC = +/- </t>
  </si>
  <si>
    <t xml:space="preserve">ETS = +/- </t>
  </si>
  <si>
    <r>
      <t xml:space="preserve">=&gt; Votre Ecart de Salaire de base en % </t>
    </r>
    <r>
      <rPr>
        <sz val="12"/>
        <color rgb="FF000000"/>
        <rFont val="Calibri"/>
        <family val="2"/>
      </rPr>
      <t xml:space="preserve">(ESS x 100 / SM SEI-SEF de même coef. ou position) </t>
    </r>
    <r>
      <rPr>
        <b/>
        <sz val="12"/>
        <color rgb="FF000000"/>
        <rFont val="Calibri"/>
        <family val="2"/>
      </rPr>
      <t>:</t>
    </r>
  </si>
  <si>
    <r>
      <t xml:space="preserve">=&gt; Votre Ecart de Bonus Cible en % </t>
    </r>
    <r>
      <rPr>
        <sz val="12"/>
        <color rgb="FF000000"/>
        <rFont val="Calibri"/>
        <family val="2"/>
      </rPr>
      <t xml:space="preserve">(TBC - TBM force de vente ou IC de même position) </t>
    </r>
    <r>
      <rPr>
        <b/>
        <sz val="12"/>
        <color rgb="FF000000"/>
        <rFont val="Calibri"/>
        <family val="2"/>
      </rPr>
      <t xml:space="preserve">: </t>
    </r>
  </si>
  <si>
    <t>€</t>
  </si>
  <si>
    <t>NOM</t>
  </si>
  <si>
    <t>PRENOM</t>
  </si>
  <si>
    <t xml:space="preserve">PRENOM : </t>
  </si>
  <si>
    <t>Gp poste/grade</t>
  </si>
  <si>
    <t>salaire moyen de Schneider à une qualification donnée</t>
  </si>
  <si>
    <t>Chiffrez votre retard salarial pour un rattrapage vis-à-vis de la moyenne des salariés SEI-SEF :</t>
  </si>
  <si>
    <t>Un compa ratio proche de 1 signifie que votre rémunération est proche du salaire du marché</t>
  </si>
  <si>
    <t>K€</t>
  </si>
  <si>
    <r>
      <t xml:space="preserve">=&gt; Votre Ecart Total de Salaire cible en %  </t>
    </r>
    <r>
      <rPr>
        <sz val="12"/>
        <color rgb="FF000000"/>
        <rFont val="Calibri"/>
        <family val="2"/>
      </rPr>
      <t>avec salariés force de vente ou IC même position :</t>
    </r>
  </si>
  <si>
    <t>Comparaison avec le salaire moyen de SEI-SEF à une qualification donnée (coefficient ou position)</t>
  </si>
  <si>
    <t>Salaire mensuel moyen SEI-SEF de votre qualification</t>
  </si>
  <si>
    <t>Salaire annuel moyen SEI-SEF pour votre qualification</t>
  </si>
  <si>
    <t>Ecart de votre salaire avec le salaire moyen de votre qualification</t>
  </si>
  <si>
    <t>Rappel 2016 (nov2015)</t>
  </si>
  <si>
    <t>nb de personnes</t>
  </si>
  <si>
    <t>STIP</t>
  </si>
  <si>
    <t>FSN</t>
  </si>
  <si>
    <t>Evaluation de performance reçue au dernier entretien annuel</t>
  </si>
  <si>
    <t xml:space="preserve">EP = </t>
  </si>
  <si>
    <r>
      <t xml:space="preserve">5 à 10 ans d’expérience avec évaluation positive : spécialiste = </t>
    </r>
    <r>
      <rPr>
        <i/>
        <sz val="10"/>
        <color rgb="FF000000"/>
        <rFont val="Calibri"/>
        <family val="2"/>
      </rPr>
      <t xml:space="preserve">expert. Pour valider la reconnaissance d’expert, </t>
    </r>
    <r>
      <rPr>
        <b/>
        <i/>
        <sz val="10"/>
        <color rgb="FF000000"/>
        <rFont val="Calibri"/>
        <family val="2"/>
      </rPr>
      <t>il est opportun</t>
    </r>
    <r>
      <rPr>
        <i/>
        <sz val="10"/>
        <color rgb="FF000000"/>
        <rFont val="Calibri"/>
        <family val="2"/>
      </rPr>
      <t xml:space="preserve"> de se porter </t>
    </r>
    <r>
      <rPr>
        <b/>
        <i/>
        <sz val="10"/>
        <color rgb="FF000000"/>
        <rFont val="Calibri"/>
        <family val="2"/>
      </rPr>
      <t>candidat au programme Schneider « Edison »</t>
    </r>
    <r>
      <rPr>
        <i/>
        <sz val="10"/>
        <color rgb="FF000000"/>
        <rFont val="Calibri"/>
        <family val="2"/>
      </rPr>
      <t xml:space="preserve"> qui valorise officiellement chaque année de nouveaux experts.</t>
    </r>
  </si>
  <si>
    <r>
      <t xml:space="preserve">La détermination du niveau de maîtrise dans le poste est la conjonction de 2 éléments clés : </t>
    </r>
    <r>
      <rPr>
        <b/>
        <i/>
        <sz val="10"/>
        <color rgb="FF000000"/>
        <rFont val="Calibri"/>
        <family val="2"/>
      </rPr>
      <t>l’expérience</t>
    </r>
    <r>
      <rPr>
        <i/>
        <sz val="10"/>
        <color rgb="FF000000"/>
        <rFont val="Calibri"/>
        <family val="2"/>
      </rPr>
      <t xml:space="preserve"> dans le poste </t>
    </r>
    <r>
      <rPr>
        <b/>
        <i/>
        <sz val="10"/>
        <color rgb="FF000000"/>
        <rFont val="Calibri"/>
        <family val="2"/>
      </rPr>
      <t>ET</t>
    </r>
    <r>
      <rPr>
        <i/>
        <sz val="10"/>
        <color rgb="FF000000"/>
        <rFont val="Calibri"/>
        <family val="2"/>
      </rPr>
      <t xml:space="preserve"> </t>
    </r>
    <r>
      <rPr>
        <b/>
        <i/>
        <sz val="10"/>
        <color rgb="FF000000"/>
        <rFont val="Calibri"/>
        <family val="2"/>
      </rPr>
      <t>l’obtention d’une évaluation globalement positive (très performant, performant, compétent, ou note &gt; 3/5)</t>
    </r>
    <r>
      <rPr>
        <i/>
        <sz val="10"/>
        <color rgb="FF000000"/>
        <rFont val="Calibri"/>
        <family val="2"/>
      </rPr>
      <t xml:space="preserve"> sur la durée d’occupation du poste, justifiant de fait que </t>
    </r>
    <r>
      <rPr>
        <b/>
        <i/>
        <sz val="10"/>
        <color rgb="FF000000"/>
        <rFont val="Calibri"/>
        <family val="2"/>
      </rPr>
      <t xml:space="preserve">l’entreprise reconnaît que vous tenez bien le poste. </t>
    </r>
    <r>
      <rPr>
        <i/>
        <sz val="10"/>
        <color rgb="FF000000"/>
        <rFont val="Calibri"/>
        <family val="2"/>
      </rPr>
      <t xml:space="preserve">Nota : avoir obtenu une évaluation de sous performance ou une note de 2/5, ponctuellement dans le passé, n’est pas grave, </t>
    </r>
    <r>
      <rPr>
        <b/>
        <i/>
        <sz val="10"/>
        <color rgb="FF000000"/>
        <rFont val="Calibri"/>
        <family val="2"/>
      </rPr>
      <t xml:space="preserve">si les évaluations les plus récentes sont positives. </t>
    </r>
  </si>
  <si>
    <t>Salaire Médian marché</t>
  </si>
  <si>
    <t>Salaire mensuel de base brut</t>
  </si>
  <si>
    <t>(hors prime et bonus)</t>
  </si>
  <si>
    <t>MARTINS</t>
  </si>
  <si>
    <t>Archives</t>
  </si>
  <si>
    <t>Fin 2017</t>
  </si>
  <si>
    <t>Rappel 2017(nov 2016)</t>
  </si>
  <si>
    <t>Nb de personnes</t>
  </si>
  <si>
    <t>Salaire Moyen SEI SEF estimé(1,9%d'augmentation)</t>
  </si>
  <si>
    <t>CFTC Janvier 2020</t>
  </si>
  <si>
    <r>
      <rPr>
        <b/>
        <sz val="14"/>
        <color theme="1"/>
        <rFont val="Calibri"/>
        <family val="2"/>
        <scheme val="minor"/>
      </rPr>
      <t>Mode d'emploi</t>
    </r>
    <r>
      <rPr>
        <sz val="12"/>
        <color theme="1"/>
        <rFont val="Calibri"/>
        <family val="2"/>
        <scheme val="minor"/>
      </rPr>
      <t xml:space="preserve">               :             remplir les cases jaunes, </t>
    </r>
  </si>
  <si>
    <t>Catégorie Socio-professionnelle             (Ouvrier, ATAM ou IC)</t>
  </si>
  <si>
    <t>Evaluation 2020 :</t>
  </si>
  <si>
    <t>A modifier tous les ans - cases jaunes</t>
  </si>
  <si>
    <t>A vos côtés tout au long de votre carrière</t>
  </si>
  <si>
    <t>L'onglet synthèse à imprimer (bleu) vous permet d'avoir une version propre à présenter à votre responsable</t>
  </si>
  <si>
    <t xml:space="preserve">Salaire médian du marché, en italique </t>
  </si>
  <si>
    <t>Salaires moyens novembre 2020</t>
  </si>
  <si>
    <t>vous obtenez les résultats dans les cases bleues plus bas.</t>
  </si>
  <si>
    <t>Gilberte</t>
  </si>
  <si>
    <t>IAB2</t>
  </si>
  <si>
    <t>Jobmètre 2021 : Juillet 2021</t>
  </si>
  <si>
    <t>Données de salaire SEI-SEF juillet 2021</t>
  </si>
  <si>
    <t>SEI-SEF - Juillet 2021</t>
  </si>
  <si>
    <t>Plus de données depuis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</si>
</sst>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_-* #,##0\ _€_-;\-* #,##0\ _€_-;_-* &quot;-&quot;??\ _€_-;_-@_-"/>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2"/>
      <color rgb="FF0000CC"/>
      <name val="Calibri"/>
      <family val="2"/>
      <scheme val="minor"/>
    </font>
    <font>
      <sz val="12"/>
      <color theme="1"/>
      <name val="Calibri"/>
      <family val="2"/>
      <scheme val="minor"/>
    </font>
    <font>
      <sz val="12"/>
      <color theme="1"/>
      <name val="Arial"/>
      <family val="2"/>
    </font>
    <font>
      <b/>
      <sz val="16"/>
      <color rgb="FF0000FF"/>
      <name val="Calibri"/>
      <family val="2"/>
    </font>
    <font>
      <sz val="14"/>
      <color theme="1"/>
      <name val="Arial"/>
      <family val="2"/>
    </font>
    <font>
      <b/>
      <sz val="12"/>
      <color rgb="FF000000"/>
      <name val="Calibri"/>
      <family val="2"/>
    </font>
    <font>
      <sz val="12"/>
      <color rgb="FF000000"/>
      <name val="Calibri"/>
      <family val="2"/>
    </font>
    <font>
      <b/>
      <sz val="2"/>
      <color rgb="FF000000"/>
      <name val="Calibri"/>
      <family val="2"/>
    </font>
    <font>
      <i/>
      <sz val="10"/>
      <color rgb="FF000000"/>
      <name val="Calibri"/>
      <family val="2"/>
    </font>
    <font>
      <b/>
      <sz val="12"/>
      <color rgb="FF0000FF"/>
      <name val="Calibri"/>
      <family val="2"/>
    </font>
    <font>
      <sz val="12"/>
      <color rgb="FF0000FF"/>
      <name val="Calibri"/>
      <family val="2"/>
    </font>
    <font>
      <b/>
      <i/>
      <sz val="10"/>
      <color rgb="FF000000"/>
      <name val="Calibri"/>
      <family val="2"/>
    </font>
    <font>
      <b/>
      <i/>
      <u/>
      <sz val="10"/>
      <color rgb="FF000000"/>
      <name val="Calibri"/>
      <family val="2"/>
    </font>
    <font>
      <sz val="8"/>
      <color rgb="FF000000"/>
      <name val="Calibri"/>
      <family val="2"/>
    </font>
    <font>
      <b/>
      <i/>
      <sz val="14"/>
      <color rgb="FF0000FF"/>
      <name val="Calibri"/>
      <family val="2"/>
    </font>
    <font>
      <b/>
      <sz val="4"/>
      <color rgb="FF000000"/>
      <name val="Calibri"/>
      <family val="2"/>
    </font>
    <font>
      <sz val="4"/>
      <color rgb="FF000000"/>
      <name val="Calibri"/>
      <family val="2"/>
    </font>
    <font>
      <sz val="6"/>
      <color rgb="FF000000"/>
      <name val="Calibri"/>
      <family val="2"/>
    </font>
    <font>
      <sz val="2"/>
      <color rgb="FF000000"/>
      <name val="Calibri"/>
      <family val="2"/>
    </font>
    <font>
      <b/>
      <sz val="12"/>
      <color theme="1"/>
      <name val="Calibri"/>
      <family val="2"/>
      <scheme val="minor"/>
    </font>
    <font>
      <b/>
      <sz val="14"/>
      <color rgb="FF0000CC"/>
      <name val="Calibri"/>
      <family val="2"/>
      <scheme val="minor"/>
    </font>
    <font>
      <sz val="12"/>
      <color rgb="FF0000CC"/>
      <name val="Calibri"/>
      <family val="2"/>
      <scheme val="minor"/>
    </font>
    <font>
      <b/>
      <i/>
      <sz val="12"/>
      <color rgb="FF0000CC"/>
      <name val="Calibri"/>
      <family val="2"/>
      <scheme val="minor"/>
    </font>
    <font>
      <b/>
      <sz val="12"/>
      <color rgb="FFFF0000"/>
      <name val="Calibri"/>
      <family val="2"/>
      <scheme val="minor"/>
    </font>
    <font>
      <sz val="12"/>
      <color theme="0"/>
      <name val="Calibri"/>
      <family val="2"/>
      <scheme val="minor"/>
    </font>
    <font>
      <i/>
      <sz val="12"/>
      <color theme="1"/>
      <name val="Calibri"/>
      <family val="2"/>
      <scheme val="minor"/>
    </font>
    <font>
      <b/>
      <sz val="14"/>
      <color theme="1"/>
      <name val="Arial"/>
      <family val="2"/>
    </font>
    <font>
      <sz val="10"/>
      <name val="Arial"/>
      <family val="2"/>
    </font>
    <font>
      <sz val="10"/>
      <name val="MS Sans Serif"/>
    </font>
    <font>
      <b/>
      <sz val="10"/>
      <name val="Calibri"/>
      <family val="2"/>
    </font>
    <font>
      <sz val="10"/>
      <name val="Calibri"/>
      <family val="2"/>
    </font>
    <font>
      <b/>
      <sz val="14"/>
      <color theme="1"/>
      <name val="Calibri"/>
      <family val="2"/>
      <scheme val="minor"/>
    </font>
    <font>
      <b/>
      <sz val="20"/>
      <color rgb="FF1D71B8"/>
      <name val="Calibri"/>
      <family val="2"/>
      <scheme val="minor"/>
    </font>
    <font>
      <b/>
      <i/>
      <sz val="14"/>
      <color rgb="FF0070C0"/>
      <name val="Calibri"/>
      <family val="2"/>
      <scheme val="minor"/>
    </font>
    <font>
      <b/>
      <i/>
      <sz val="12"/>
      <color rgb="FF0070C0"/>
      <name val="Calibri"/>
      <family val="2"/>
      <scheme val="minor"/>
    </font>
    <font>
      <b/>
      <sz val="11"/>
      <color theme="0"/>
      <name val="Calibri"/>
      <family val="2"/>
      <scheme val="minor"/>
    </font>
    <font>
      <sz val="11"/>
      <color theme="0"/>
      <name val="Calibri"/>
      <family val="2"/>
      <scheme val="minor"/>
    </font>
    <font>
      <strike/>
      <sz val="11"/>
      <color theme="0"/>
      <name val="Calibri"/>
      <family val="2"/>
      <scheme val="minor"/>
    </font>
    <font>
      <i/>
      <sz val="11"/>
      <color theme="0"/>
      <name val="Calibri"/>
      <family val="2"/>
      <scheme val="minor"/>
    </font>
    <font>
      <sz val="11"/>
      <color theme="0"/>
      <name val="Calibri"/>
      <family val="2"/>
    </font>
    <font>
      <sz val="11"/>
      <color theme="0"/>
      <name val="Arial"/>
      <family val="2"/>
    </font>
    <font>
      <b/>
      <sz val="10"/>
      <color theme="0"/>
      <name val="Calibri"/>
      <family val="2"/>
    </font>
  </fonts>
  <fills count="8">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22"/>
      </left>
      <right style="thin">
        <color indexed="22"/>
      </right>
      <top style="medium">
        <color indexed="64"/>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164" fontId="1" fillId="0" borderId="0" applyFont="0" applyFill="0" applyBorder="0" applyAlignment="0" applyProtection="0"/>
    <xf numFmtId="0" fontId="30" fillId="0" borderId="0"/>
    <xf numFmtId="0" fontId="31" fillId="0" borderId="0"/>
  </cellStyleXfs>
  <cellXfs count="169">
    <xf numFmtId="0" fontId="0" fillId="0" borderId="0" xfId="0"/>
    <xf numFmtId="0" fontId="3" fillId="0" borderId="0" xfId="0" applyFont="1"/>
    <xf numFmtId="0" fontId="4" fillId="0" borderId="0" xfId="0" applyFont="1" applyBorder="1"/>
    <xf numFmtId="0" fontId="0" fillId="0" borderId="0" xfId="0" applyAlignment="1">
      <alignment horizontal="left"/>
    </xf>
    <xf numFmtId="0" fontId="5" fillId="0" borderId="0" xfId="0" applyFont="1"/>
    <xf numFmtId="0" fontId="7" fillId="0" borderId="0" xfId="0" applyFont="1" applyAlignment="1">
      <alignment horizontal="justify"/>
    </xf>
    <xf numFmtId="0" fontId="8" fillId="0" borderId="0" xfId="0" applyFont="1"/>
    <xf numFmtId="0" fontId="10" fillId="0" borderId="0" xfId="0" applyFont="1"/>
    <xf numFmtId="0" fontId="11" fillId="0" borderId="0" xfId="0" applyFont="1"/>
    <xf numFmtId="0" fontId="14" fillId="0" borderId="0" xfId="0" applyFont="1"/>
    <xf numFmtId="0" fontId="16" fillId="0" borderId="0" xfId="0" applyFont="1" applyAlignment="1">
      <alignment horizontal="justify"/>
    </xf>
    <xf numFmtId="0" fontId="17" fillId="0" borderId="0" xfId="0" applyFont="1"/>
    <xf numFmtId="0" fontId="18" fillId="0" borderId="0" xfId="0" applyFont="1" applyAlignment="1">
      <alignment horizontal="justify"/>
    </xf>
    <xf numFmtId="0" fontId="8" fillId="0" borderId="0" xfId="0" applyFont="1" applyAlignment="1">
      <alignment horizontal="justify"/>
    </xf>
    <xf numFmtId="0" fontId="19" fillId="0" borderId="0" xfId="0" applyFont="1"/>
    <xf numFmtId="0" fontId="20" fillId="0" borderId="0" xfId="0" applyFont="1" applyAlignment="1">
      <alignment horizontal="justify"/>
    </xf>
    <xf numFmtId="0" fontId="18" fillId="0" borderId="0" xfId="0" applyFont="1"/>
    <xf numFmtId="0" fontId="8" fillId="0" borderId="0" xfId="0" applyFont="1" applyAlignment="1">
      <alignment horizontal="left"/>
    </xf>
    <xf numFmtId="0" fontId="11" fillId="0" borderId="0" xfId="0" applyFont="1" applyAlignment="1">
      <alignment horizontal="left"/>
    </xf>
    <xf numFmtId="0" fontId="2" fillId="0" borderId="0" xfId="0" applyFont="1" applyAlignment="1">
      <alignment horizontal="right"/>
    </xf>
    <xf numFmtId="0" fontId="22" fillId="0" borderId="0" xfId="0" applyFont="1" applyAlignment="1">
      <alignment horizontal="right"/>
    </xf>
    <xf numFmtId="0" fontId="4" fillId="0" borderId="0" xfId="0" applyFont="1"/>
    <xf numFmtId="0" fontId="22" fillId="0" borderId="0" xfId="0" applyFont="1"/>
    <xf numFmtId="0" fontId="3" fillId="0" borderId="0" xfId="0" applyFont="1" applyAlignment="1">
      <alignment horizontal="right"/>
    </xf>
    <xf numFmtId="0" fontId="12" fillId="0" borderId="0" xfId="0" quotePrefix="1" applyFont="1" applyAlignment="1"/>
    <xf numFmtId="0" fontId="22" fillId="0" borderId="0" xfId="0" quotePrefix="1" applyFont="1"/>
    <xf numFmtId="0" fontId="22" fillId="0" borderId="0" xfId="0" applyFont="1" applyAlignment="1">
      <alignment horizontal="left"/>
    </xf>
    <xf numFmtId="0" fontId="8" fillId="0" borderId="0" xfId="0" quotePrefix="1" applyFont="1"/>
    <xf numFmtId="0" fontId="22" fillId="0" borderId="0" xfId="0" applyFont="1" applyAlignment="1"/>
    <xf numFmtId="14" fontId="23" fillId="0" borderId="0" xfId="0" applyNumberFormat="1" applyFont="1"/>
    <xf numFmtId="14" fontId="3" fillId="0" borderId="0" xfId="0" applyNumberFormat="1" applyFont="1" applyAlignment="1">
      <alignment horizontal="center"/>
    </xf>
    <xf numFmtId="0" fontId="24" fillId="0" borderId="0" xfId="0" applyFont="1"/>
    <xf numFmtId="0" fontId="3" fillId="0" borderId="9" xfId="0" applyFont="1" applyBorder="1" applyAlignment="1">
      <alignment horizontal="center"/>
    </xf>
    <xf numFmtId="0" fontId="3" fillId="0" borderId="0" xfId="0" applyFont="1" applyBorder="1" applyAlignment="1">
      <alignment horizontal="center"/>
    </xf>
    <xf numFmtId="9" fontId="3" fillId="0" borderId="9" xfId="0" applyNumberFormat="1" applyFont="1" applyBorder="1" applyAlignment="1">
      <alignment horizontal="center"/>
    </xf>
    <xf numFmtId="0" fontId="25" fillId="0" borderId="0" xfId="0" applyFont="1" applyAlignment="1">
      <alignment horizontal="center"/>
    </xf>
    <xf numFmtId="165" fontId="3" fillId="0" borderId="9" xfId="1" applyNumberFormat="1" applyFont="1" applyBorder="1"/>
    <xf numFmtId="165" fontId="3" fillId="0" borderId="9" xfId="1" applyNumberFormat="1" applyFont="1" applyBorder="1" applyAlignment="1">
      <alignment horizontal="center"/>
    </xf>
    <xf numFmtId="165" fontId="3" fillId="0" borderId="0" xfId="1" applyNumberFormat="1" applyFont="1"/>
    <xf numFmtId="165" fontId="3" fillId="0" borderId="9" xfId="0" applyNumberFormat="1" applyFont="1" applyBorder="1"/>
    <xf numFmtId="0" fontId="6" fillId="0" borderId="0" xfId="0" applyFont="1" applyAlignment="1"/>
    <xf numFmtId="0" fontId="4" fillId="2" borderId="0" xfId="0" applyFont="1" applyFill="1" applyProtection="1">
      <protection locked="0"/>
    </xf>
    <xf numFmtId="0" fontId="4" fillId="3" borderId="0" xfId="0" applyFont="1" applyFill="1"/>
    <xf numFmtId="0" fontId="22" fillId="0" borderId="0" xfId="0" applyFont="1" applyFill="1"/>
    <xf numFmtId="14" fontId="22" fillId="0" borderId="0" xfId="0" applyNumberFormat="1" applyFont="1" applyFill="1" applyProtection="1">
      <protection locked="0"/>
    </xf>
    <xf numFmtId="0" fontId="22" fillId="5" borderId="0" xfId="0" applyFont="1" applyFill="1"/>
    <xf numFmtId="0" fontId="4" fillId="5" borderId="0" xfId="0" applyFont="1" applyFill="1"/>
    <xf numFmtId="14" fontId="22" fillId="2" borderId="0" xfId="0" applyNumberFormat="1" applyFont="1" applyFill="1" applyProtection="1">
      <protection locked="0"/>
    </xf>
    <xf numFmtId="0" fontId="4" fillId="0" borderId="0" xfId="0" applyFont="1" applyFill="1"/>
    <xf numFmtId="0" fontId="22" fillId="0" borderId="0" xfId="0" applyFont="1" applyFill="1" applyAlignment="1">
      <alignment horizontal="right"/>
    </xf>
    <xf numFmtId="0" fontId="4" fillId="2" borderId="0" xfId="0" applyFont="1" applyFill="1" applyAlignment="1" applyProtection="1">
      <alignment horizontal="right"/>
      <protection locked="0"/>
    </xf>
    <xf numFmtId="0" fontId="27" fillId="0" borderId="0" xfId="0" applyFont="1"/>
    <xf numFmtId="166" fontId="27" fillId="0" borderId="0" xfId="0" applyNumberFormat="1" applyFont="1" applyAlignment="1">
      <alignment horizontal="right"/>
    </xf>
    <xf numFmtId="0" fontId="4" fillId="0" borderId="0" xfId="0" applyFont="1" applyAlignment="1"/>
    <xf numFmtId="0" fontId="28" fillId="0" borderId="0" xfId="0" applyFont="1" applyFill="1" applyAlignment="1">
      <alignment horizontal="right"/>
    </xf>
    <xf numFmtId="9" fontId="4" fillId="2" borderId="0" xfId="1" applyFont="1" applyFill="1" applyProtection="1">
      <protection locked="0"/>
    </xf>
    <xf numFmtId="1" fontId="4" fillId="3" borderId="0" xfId="0" applyNumberFormat="1" applyFont="1" applyFill="1"/>
    <xf numFmtId="166" fontId="4" fillId="3" borderId="0" xfId="0" applyNumberFormat="1" applyFont="1" applyFill="1"/>
    <xf numFmtId="0" fontId="22" fillId="3" borderId="0" xfId="0" applyFont="1" applyFill="1"/>
    <xf numFmtId="0" fontId="4" fillId="3" borderId="0" xfId="0" applyFont="1" applyFill="1" applyAlignment="1">
      <alignment horizontal="right"/>
    </xf>
    <xf numFmtId="0" fontId="22" fillId="5" borderId="1" xfId="0" applyFont="1" applyFill="1" applyBorder="1"/>
    <xf numFmtId="0" fontId="4" fillId="5" borderId="2" xfId="0" applyFont="1" applyFill="1" applyBorder="1"/>
    <xf numFmtId="0" fontId="4" fillId="5" borderId="3" xfId="0" applyFont="1" applyFill="1" applyBorder="1"/>
    <xf numFmtId="0" fontId="4" fillId="0" borderId="4" xfId="0" applyFont="1" applyBorder="1"/>
    <xf numFmtId="0" fontId="4" fillId="3" borderId="0" xfId="0" applyFont="1" applyFill="1" applyBorder="1"/>
    <xf numFmtId="0" fontId="4" fillId="0" borderId="5" xfId="0" applyFont="1" applyBorder="1"/>
    <xf numFmtId="165" fontId="4" fillId="3" borderId="0" xfId="1" applyNumberFormat="1" applyFont="1" applyFill="1" applyBorder="1"/>
    <xf numFmtId="0" fontId="4" fillId="0" borderId="6" xfId="0" applyFont="1" applyBorder="1"/>
    <xf numFmtId="0" fontId="22" fillId="0" borderId="7" xfId="0" applyFont="1" applyBorder="1"/>
    <xf numFmtId="2" fontId="22" fillId="4" borderId="7" xfId="1" applyNumberFormat="1" applyFont="1" applyFill="1" applyBorder="1"/>
    <xf numFmtId="0" fontId="4" fillId="0" borderId="7" xfId="0" applyFont="1" applyBorder="1"/>
    <xf numFmtId="0" fontId="3" fillId="0" borderId="7" xfId="0" applyFont="1" applyBorder="1"/>
    <xf numFmtId="0" fontId="4" fillId="0" borderId="8" xfId="0" applyFont="1" applyBorder="1"/>
    <xf numFmtId="1" fontId="4" fillId="3" borderId="0" xfId="1" applyNumberFormat="1" applyFont="1" applyFill="1" applyBorder="1"/>
    <xf numFmtId="10" fontId="4" fillId="3" borderId="7" xfId="1" applyNumberFormat="1" applyFont="1" applyFill="1" applyBorder="1"/>
    <xf numFmtId="10" fontId="4" fillId="0" borderId="0" xfId="0" applyNumberFormat="1" applyFont="1"/>
    <xf numFmtId="166" fontId="22" fillId="3" borderId="0" xfId="0" applyNumberFormat="1" applyFont="1" applyFill="1"/>
    <xf numFmtId="0" fontId="22" fillId="2" borderId="0" xfId="0" applyNumberFormat="1" applyFont="1" applyFill="1" applyProtection="1">
      <protection locked="0"/>
    </xf>
    <xf numFmtId="0" fontId="4" fillId="0" borderId="0" xfId="0" applyFont="1" applyFill="1" applyProtection="1"/>
    <xf numFmtId="0" fontId="4" fillId="0" borderId="0" xfId="0" applyFont="1" applyProtection="1"/>
    <xf numFmtId="14" fontId="22" fillId="0" borderId="0" xfId="0" applyNumberFormat="1" applyFont="1" applyFill="1" applyProtection="1"/>
    <xf numFmtId="14" fontId="22" fillId="5" borderId="0" xfId="0" applyNumberFormat="1" applyFont="1" applyFill="1" applyProtection="1"/>
    <xf numFmtId="0" fontId="4" fillId="5" borderId="0" xfId="0" applyFont="1" applyFill="1" applyProtection="1"/>
    <xf numFmtId="0" fontId="28" fillId="0" borderId="0" xfId="0" applyFont="1"/>
    <xf numFmtId="0" fontId="0" fillId="6" borderId="0" xfId="0" applyFill="1"/>
    <xf numFmtId="0" fontId="2" fillId="6" borderId="0" xfId="0" applyFont="1" applyFill="1"/>
    <xf numFmtId="0" fontId="0" fillId="6" borderId="0" xfId="0" applyFill="1" applyBorder="1"/>
    <xf numFmtId="165" fontId="0" fillId="6" borderId="0" xfId="1" applyNumberFormat="1" applyFont="1" applyFill="1" applyBorder="1"/>
    <xf numFmtId="10" fontId="0" fillId="6" borderId="0" xfId="1" applyNumberFormat="1" applyFont="1" applyFill="1" applyBorder="1"/>
    <xf numFmtId="0" fontId="2" fillId="6" borderId="0" xfId="0" applyFont="1" applyFill="1" applyBorder="1"/>
    <xf numFmtId="167" fontId="4" fillId="3" borderId="0" xfId="2" applyNumberFormat="1" applyFont="1" applyFill="1" applyBorder="1"/>
    <xf numFmtId="167" fontId="3" fillId="0" borderId="0" xfId="2" applyNumberFormat="1" applyFont="1"/>
    <xf numFmtId="1" fontId="3" fillId="0" borderId="9" xfId="0" applyNumberFormat="1" applyFont="1" applyBorder="1" applyAlignment="1">
      <alignment horizontal="center"/>
    </xf>
    <xf numFmtId="0" fontId="4" fillId="2" borderId="0" xfId="0" applyFont="1" applyFill="1" applyAlignment="1">
      <alignment horizontal="right"/>
    </xf>
    <xf numFmtId="0" fontId="4" fillId="7" borderId="0" xfId="0" applyFont="1" applyFill="1"/>
    <xf numFmtId="0" fontId="4" fillId="7" borderId="0" xfId="0" applyFont="1" applyFill="1" applyAlignment="1">
      <alignment horizontal="right"/>
    </xf>
    <xf numFmtId="165" fontId="32" fillId="6" borderId="0" xfId="1" applyNumberFormat="1" applyFont="1" applyFill="1" applyBorder="1" applyAlignment="1">
      <alignment horizontal="center" vertical="center"/>
    </xf>
    <xf numFmtId="3" fontId="33" fillId="6" borderId="0" xfId="3" applyNumberFormat="1" applyFont="1" applyFill="1" applyBorder="1"/>
    <xf numFmtId="0" fontId="35" fillId="0" borderId="0" xfId="0" applyFont="1" applyAlignment="1">
      <alignment horizontal="left" vertical="center"/>
    </xf>
    <xf numFmtId="0" fontId="29" fillId="0" borderId="0" xfId="0" applyFont="1" applyAlignment="1"/>
    <xf numFmtId="0" fontId="34" fillId="6" borderId="0" xfId="0" applyFont="1" applyFill="1"/>
    <xf numFmtId="0" fontId="36" fillId="6" borderId="0" xfId="0" applyFont="1" applyFill="1"/>
    <xf numFmtId="0" fontId="34" fillId="6" borderId="0" xfId="0" applyFont="1" applyFill="1" applyBorder="1" applyAlignment="1">
      <alignment horizontal="center"/>
    </xf>
    <xf numFmtId="0" fontId="4" fillId="6" borderId="0" xfId="0" applyFont="1" applyFill="1" applyBorder="1" applyAlignment="1">
      <alignment horizontal="center"/>
    </xf>
    <xf numFmtId="0" fontId="37" fillId="6" borderId="0" xfId="0" applyFont="1" applyFill="1" applyBorder="1"/>
    <xf numFmtId="0" fontId="4" fillId="7" borderId="0" xfId="0" applyFont="1" applyFill="1" applyAlignment="1">
      <alignment wrapText="1"/>
    </xf>
    <xf numFmtId="0" fontId="39" fillId="0" borderId="0" xfId="0" applyFont="1" applyFill="1"/>
    <xf numFmtId="0" fontId="38" fillId="2" borderId="0" xfId="0" applyFont="1" applyFill="1"/>
    <xf numFmtId="0" fontId="39" fillId="2" borderId="0" xfId="0" applyFont="1" applyFill="1"/>
    <xf numFmtId="14" fontId="39" fillId="0" borderId="0" xfId="0" applyNumberFormat="1" applyFont="1" applyFill="1"/>
    <xf numFmtId="1" fontId="39" fillId="0" borderId="0" xfId="0" applyNumberFormat="1" applyFont="1" applyFill="1"/>
    <xf numFmtId="17" fontId="39" fillId="0" borderId="0" xfId="0" applyNumberFormat="1" applyFont="1" applyFill="1"/>
    <xf numFmtId="0" fontId="38" fillId="0" borderId="0" xfId="0" applyFont="1" applyFill="1"/>
    <xf numFmtId="0" fontId="38" fillId="0" borderId="1" xfId="0" applyFont="1" applyFill="1" applyBorder="1"/>
    <xf numFmtId="0" fontId="39" fillId="2" borderId="2" xfId="0" applyFont="1" applyFill="1" applyBorder="1"/>
    <xf numFmtId="0" fontId="39" fillId="2" borderId="3" xfId="0" applyFont="1" applyFill="1" applyBorder="1"/>
    <xf numFmtId="0" fontId="39" fillId="0" borderId="2" xfId="0" applyFont="1" applyFill="1" applyBorder="1"/>
    <xf numFmtId="0" fontId="39" fillId="0" borderId="3" xfId="0" applyFont="1" applyFill="1" applyBorder="1"/>
    <xf numFmtId="0" fontId="38" fillId="0" borderId="4" xfId="0" applyFont="1" applyFill="1" applyBorder="1"/>
    <xf numFmtId="0" fontId="39" fillId="0" borderId="0" xfId="0" applyFont="1" applyFill="1" applyBorder="1"/>
    <xf numFmtId="0" fontId="39" fillId="0" borderId="5" xfId="0" applyFont="1" applyFill="1" applyBorder="1"/>
    <xf numFmtId="166" fontId="39" fillId="0" borderId="5" xfId="0" applyNumberFormat="1" applyFont="1" applyFill="1" applyBorder="1"/>
    <xf numFmtId="0" fontId="40" fillId="2" borderId="0" xfId="0" applyFont="1" applyFill="1"/>
    <xf numFmtId="0" fontId="39" fillId="2" borderId="5" xfId="0" applyFont="1" applyFill="1" applyBorder="1"/>
    <xf numFmtId="0" fontId="39" fillId="0" borderId="0" xfId="0" applyFont="1"/>
    <xf numFmtId="0" fontId="41" fillId="0" borderId="0" xfId="0" applyFont="1" applyFill="1"/>
    <xf numFmtId="9" fontId="39" fillId="0" borderId="0" xfId="1" applyFont="1" applyFill="1"/>
    <xf numFmtId="0" fontId="39" fillId="0" borderId="0" xfId="0" quotePrefix="1" applyFont="1" applyFill="1"/>
    <xf numFmtId="0" fontId="39" fillId="2" borderId="0" xfId="0" applyFont="1" applyFill="1" applyBorder="1"/>
    <xf numFmtId="165" fontId="39" fillId="0" borderId="0" xfId="1" applyNumberFormat="1" applyFont="1" applyFill="1"/>
    <xf numFmtId="0" fontId="38" fillId="0" borderId="6" xfId="0" applyFont="1" applyFill="1" applyBorder="1"/>
    <xf numFmtId="0" fontId="39" fillId="0" borderId="7" xfId="0" applyFont="1" applyFill="1" applyBorder="1"/>
    <xf numFmtId="0" fontId="39" fillId="0" borderId="8" xfId="0" applyFont="1" applyFill="1" applyBorder="1"/>
    <xf numFmtId="2" fontId="39" fillId="0" borderId="0" xfId="1" applyNumberFormat="1" applyFont="1" applyFill="1"/>
    <xf numFmtId="167" fontId="42" fillId="2" borderId="14" xfId="2" applyNumberFormat="1" applyFont="1" applyFill="1" applyBorder="1" applyAlignment="1">
      <alignment wrapText="1"/>
    </xf>
    <xf numFmtId="167" fontId="42" fillId="0" borderId="14" xfId="2" applyNumberFormat="1" applyFont="1" applyFill="1" applyBorder="1" applyAlignment="1">
      <alignment wrapText="1"/>
    </xf>
    <xf numFmtId="1" fontId="39" fillId="0" borderId="0" xfId="1" applyNumberFormat="1" applyFont="1" applyFill="1"/>
    <xf numFmtId="167" fontId="43" fillId="2" borderId="14" xfId="2" applyNumberFormat="1" applyFont="1" applyFill="1" applyBorder="1" applyAlignment="1">
      <alignment wrapText="1"/>
    </xf>
    <xf numFmtId="167" fontId="43" fillId="0" borderId="14" xfId="2" applyNumberFormat="1" applyFont="1" applyFill="1" applyBorder="1" applyAlignment="1">
      <alignment wrapText="1"/>
    </xf>
    <xf numFmtId="10" fontId="39" fillId="0" borderId="0" xfId="1" applyNumberFormat="1" applyFont="1" applyFill="1"/>
    <xf numFmtId="0" fontId="39" fillId="0" borderId="0" xfId="0" applyFont="1" applyFill="1" applyProtection="1"/>
    <xf numFmtId="167" fontId="43" fillId="2" borderId="15" xfId="2" applyNumberFormat="1" applyFont="1" applyFill="1" applyBorder="1" applyAlignment="1">
      <alignment wrapText="1"/>
    </xf>
    <xf numFmtId="167" fontId="43" fillId="0" borderId="15" xfId="2" applyNumberFormat="1" applyFont="1" applyFill="1" applyBorder="1" applyAlignment="1">
      <alignment wrapText="1"/>
    </xf>
    <xf numFmtId="167" fontId="42" fillId="2" borderId="15" xfId="2" applyNumberFormat="1" applyFont="1" applyFill="1" applyBorder="1" applyAlignment="1">
      <alignment wrapText="1"/>
    </xf>
    <xf numFmtId="167" fontId="42" fillId="0" borderId="15" xfId="2" applyNumberFormat="1" applyFont="1" applyFill="1" applyBorder="1" applyAlignment="1">
      <alignment wrapText="1"/>
    </xf>
    <xf numFmtId="167" fontId="42" fillId="2" borderId="13" xfId="2" applyNumberFormat="1" applyFont="1" applyFill="1" applyBorder="1" applyAlignment="1">
      <alignment horizontal="center" wrapText="1"/>
    </xf>
    <xf numFmtId="165" fontId="44" fillId="2" borderId="16" xfId="1" applyNumberFormat="1" applyFont="1" applyFill="1" applyBorder="1" applyAlignment="1">
      <alignment horizontal="center" vertical="center"/>
    </xf>
    <xf numFmtId="167" fontId="42" fillId="0" borderId="13" xfId="2" applyNumberFormat="1" applyFont="1" applyFill="1" applyBorder="1" applyAlignment="1">
      <alignment horizontal="center" wrapText="1"/>
    </xf>
    <xf numFmtId="165" fontId="44" fillId="0" borderId="16" xfId="1" applyNumberFormat="1" applyFont="1" applyFill="1" applyBorder="1" applyAlignment="1">
      <alignment horizontal="center" vertical="center"/>
    </xf>
    <xf numFmtId="10" fontId="39" fillId="0" borderId="0" xfId="0" applyNumberFormat="1" applyFont="1" applyFill="1"/>
    <xf numFmtId="167" fontId="42" fillId="2" borderId="14" xfId="2" applyNumberFormat="1" applyFont="1" applyFill="1" applyBorder="1" applyAlignment="1">
      <alignment horizontal="center" wrapText="1"/>
    </xf>
    <xf numFmtId="165" fontId="44" fillId="2" borderId="17" xfId="1" applyNumberFormat="1" applyFont="1" applyFill="1" applyBorder="1" applyAlignment="1">
      <alignment horizontal="center" vertical="center"/>
    </xf>
    <xf numFmtId="167" fontId="42" fillId="0" borderId="14" xfId="2" applyNumberFormat="1" applyFont="1" applyFill="1" applyBorder="1" applyAlignment="1">
      <alignment horizontal="center" wrapText="1"/>
    </xf>
    <xf numFmtId="165" fontId="44" fillId="0" borderId="17" xfId="1" applyNumberFormat="1" applyFont="1" applyFill="1" applyBorder="1" applyAlignment="1">
      <alignment horizontal="center" vertical="center"/>
    </xf>
    <xf numFmtId="167" fontId="42" fillId="2" borderId="15" xfId="2" applyNumberFormat="1" applyFont="1" applyFill="1" applyBorder="1" applyAlignment="1">
      <alignment horizontal="center" wrapText="1"/>
    </xf>
    <xf numFmtId="165" fontId="44" fillId="2" borderId="18" xfId="1" applyNumberFormat="1" applyFont="1" applyFill="1" applyBorder="1" applyAlignment="1">
      <alignment horizontal="center" vertical="center"/>
    </xf>
    <xf numFmtId="167" fontId="42" fillId="0" borderId="15" xfId="2" applyNumberFormat="1" applyFont="1" applyFill="1" applyBorder="1" applyAlignment="1">
      <alignment horizontal="center" wrapText="1"/>
    </xf>
    <xf numFmtId="165" fontId="44" fillId="0" borderId="18" xfId="1" applyNumberFormat="1" applyFont="1" applyFill="1" applyBorder="1" applyAlignment="1">
      <alignment horizontal="center" vertical="center"/>
    </xf>
    <xf numFmtId="0" fontId="4" fillId="0" borderId="0" xfId="0" applyFont="1" applyAlignment="1">
      <alignment horizontal="center" wrapText="1"/>
    </xf>
    <xf numFmtId="0" fontId="4" fillId="0" borderId="0" xfId="0" applyFont="1" applyAlignment="1">
      <alignment horizontal="left"/>
    </xf>
    <xf numFmtId="0" fontId="26" fillId="0" borderId="0" xfId="0" quotePrefix="1" applyFont="1" applyAlignment="1">
      <alignment horizontal="left"/>
    </xf>
    <xf numFmtId="0" fontId="35" fillId="0" borderId="0" xfId="0" applyFont="1" applyAlignment="1">
      <alignment horizontal="center" vertical="center"/>
    </xf>
    <xf numFmtId="0" fontId="4" fillId="3" borderId="0" xfId="0" applyFont="1" applyFill="1" applyAlignment="1">
      <alignment horizontal="left" wrapText="1"/>
    </xf>
    <xf numFmtId="0" fontId="11" fillId="0" borderId="0" xfId="0" applyFont="1" applyAlignment="1">
      <alignment horizontal="justify" wrapText="1"/>
    </xf>
    <xf numFmtId="0" fontId="14" fillId="0" borderId="0" xfId="0" applyFont="1" applyAlignment="1">
      <alignment horizontal="justify" wrapText="1"/>
    </xf>
    <xf numFmtId="0" fontId="3" fillId="0" borderId="10"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6" fillId="0" borderId="0" xfId="0" applyFont="1" applyAlignment="1">
      <alignment horizontal="center"/>
    </xf>
  </cellXfs>
  <cellStyles count="5">
    <cellStyle name="Milliers" xfId="2" builtinId="3"/>
    <cellStyle name="Normal" xfId="0" builtinId="0"/>
    <cellStyle name="Normal 2" xfId="4" xr:uid="{00000000-0005-0000-0000-000002000000}"/>
    <cellStyle name="Normal_IC97-RAM" xfId="3" xr:uid="{00000000-0005-0000-0000-000006000000}"/>
    <cellStyle name="Pourcentage" xfId="1" builtinId="5"/>
  </cellStyles>
  <dxfs count="14">
    <dxf>
      <font>
        <b/>
        <i val="0"/>
        <color rgb="FFFF0000"/>
      </font>
      <fill>
        <patternFill>
          <bgColor rgb="FFFFFF00"/>
        </patternFill>
      </fill>
    </dxf>
    <dxf>
      <font>
        <b/>
        <i val="0"/>
        <color rgb="FFFF0000"/>
      </font>
      <fill>
        <patternFill>
          <bgColor rgb="FFFFFF00"/>
        </patternFill>
      </fill>
    </dxf>
    <dxf>
      <font>
        <b/>
        <i val="0"/>
        <strike val="0"/>
        <color rgb="FFFF0000"/>
      </font>
      <fill>
        <patternFill>
          <bgColor rgb="FFFFFF00"/>
        </patternFill>
      </fill>
    </dxf>
    <dxf>
      <font>
        <b/>
        <i val="0"/>
        <color rgb="FFFF0000"/>
      </font>
    </dxf>
    <dxf>
      <font>
        <b/>
        <i val="0"/>
        <color rgb="FFFF0000"/>
      </font>
      <fill>
        <patternFill>
          <bgColor rgb="FFFF0000"/>
        </patternFill>
      </fill>
    </dxf>
    <dxf>
      <font>
        <b/>
        <i val="0"/>
      </font>
      <fill>
        <patternFill>
          <bgColor rgb="FFFF0000"/>
        </patternFill>
      </fill>
    </dxf>
    <dxf>
      <font>
        <color rgb="FFFF0000"/>
      </font>
      <fill>
        <patternFill>
          <bgColor rgb="FFFF0000"/>
        </patternFill>
      </fill>
    </dxf>
    <dxf>
      <font>
        <color theme="1"/>
      </font>
      <fill>
        <patternFill>
          <bgColor rgb="FFFF0000"/>
        </patternFill>
      </fill>
    </dxf>
    <dxf>
      <font>
        <b/>
        <i val="0"/>
        <color rgb="FF0000CC"/>
      </font>
    </dxf>
    <dxf>
      <font>
        <b/>
        <i val="0"/>
        <color rgb="FF00B050"/>
      </font>
    </dxf>
    <dxf>
      <font>
        <b/>
        <i val="0"/>
        <color rgb="FFFF0000"/>
      </font>
    </dxf>
    <dxf>
      <font>
        <b/>
        <i val="0"/>
        <color rgb="FF00B050"/>
      </font>
    </dxf>
    <dxf>
      <font>
        <b/>
        <i val="0"/>
        <color rgb="FF0000CC"/>
      </font>
    </dxf>
    <dxf>
      <font>
        <b/>
        <i val="0"/>
        <color rgb="FFFF0000"/>
      </font>
    </dxf>
  </dxfs>
  <tableStyles count="0" defaultTableStyle="TableStyleMedium9" defaultPivotStyle="PivotStyleLight16"/>
  <colors>
    <mruColors>
      <color rgb="FFFFFF66"/>
      <color rgb="FFFF33CC"/>
      <color rgb="FFCC0099"/>
      <color rgb="FF0000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 Id="rId4" Type="http://schemas.openxmlformats.org/officeDocument/2006/relationships/image" Target="../media/image5.emf"/></Relationships>
</file>

<file path=xl/drawings/_rels/drawing4.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6</xdr:col>
      <xdr:colOff>93925</xdr:colOff>
      <xdr:row>13</xdr:row>
      <xdr:rowOff>221192</xdr:rowOff>
    </xdr:from>
    <xdr:to>
      <xdr:col>8</xdr:col>
      <xdr:colOff>699823</xdr:colOff>
      <xdr:row>21</xdr:row>
      <xdr:rowOff>148599</xdr:rowOff>
    </xdr:to>
    <xdr:pic>
      <xdr:nvPicPr>
        <xdr:cNvPr id="6" name="Image 5">
          <a:extLst>
            <a:ext uri="{FF2B5EF4-FFF2-40B4-BE49-F238E27FC236}">
              <a16:creationId xmlns:a16="http://schemas.microsoft.com/office/drawing/2014/main" id="{EC5FD9D3-D265-4AA2-AF82-1C431BE0B2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6619" b="6619"/>
        <a:stretch>
          <a:fillRect/>
        </a:stretch>
      </xdr:blipFill>
      <xdr:spPr bwMode="auto">
        <a:xfrm>
          <a:off x="6892394" y="2757223"/>
          <a:ext cx="2129898" cy="1760970"/>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clientData/>
  </xdr:twoCellAnchor>
  <xdr:twoCellAnchor>
    <xdr:from>
      <xdr:col>1</xdr:col>
      <xdr:colOff>1480608</xdr:colOff>
      <xdr:row>3</xdr:row>
      <xdr:rowOff>71967</xdr:rowOff>
    </xdr:from>
    <xdr:to>
      <xdr:col>1</xdr:col>
      <xdr:colOff>2060783</xdr:colOff>
      <xdr:row>5</xdr:row>
      <xdr:rowOff>148166</xdr:rowOff>
    </xdr:to>
    <xdr:pic>
      <xdr:nvPicPr>
        <xdr:cNvPr id="4" name="Image 3">
          <a:extLst>
            <a:ext uri="{FF2B5EF4-FFF2-40B4-BE49-F238E27FC236}">
              <a16:creationId xmlns:a16="http://schemas.microsoft.com/office/drawing/2014/main" id="{DD3ECF00-CC39-4D95-90ED-4A8965E04A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6619" b="6619"/>
        <a:stretch>
          <a:fillRect/>
        </a:stretch>
      </xdr:blipFill>
      <xdr:spPr bwMode="auto">
        <a:xfrm>
          <a:off x="2242608" y="579967"/>
          <a:ext cx="580175" cy="478366"/>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238124</xdr:colOff>
      <xdr:row>44</xdr:row>
      <xdr:rowOff>66675</xdr:rowOff>
    </xdr:from>
    <xdr:to>
      <xdr:col>12</xdr:col>
      <xdr:colOff>104775</xdr:colOff>
      <xdr:row>56</xdr:row>
      <xdr:rowOff>85725</xdr:rowOff>
    </xdr:to>
    <xdr:sp macro="" textlink="">
      <xdr:nvSpPr>
        <xdr:cNvPr id="26" name="AutoShape 21">
          <a:extLst>
            <a:ext uri="{FF2B5EF4-FFF2-40B4-BE49-F238E27FC236}">
              <a16:creationId xmlns:a16="http://schemas.microsoft.com/office/drawing/2014/main" id="{00000000-0008-0000-0200-00001A000000}"/>
            </a:ext>
          </a:extLst>
        </xdr:cNvPr>
        <xdr:cNvSpPr>
          <a:spLocks noChangeArrowheads="1"/>
        </xdr:cNvSpPr>
      </xdr:nvSpPr>
      <xdr:spPr bwMode="auto">
        <a:xfrm>
          <a:off x="238124" y="8848725"/>
          <a:ext cx="8239126" cy="2867025"/>
        </a:xfrm>
        <a:prstGeom prst="roundRect">
          <a:avLst>
            <a:gd name="adj" fmla="val 6634"/>
          </a:avLst>
        </a:prstGeom>
        <a:solidFill>
          <a:srgbClr val="FFFFFF">
            <a:alpha val="0"/>
          </a:srgbClr>
        </a:solidFill>
        <a:ln w="12700">
          <a:solidFill>
            <a:srgbClr val="000000"/>
          </a:solidFill>
          <a:round/>
          <a:headEnd/>
          <a:tailEnd/>
        </a:ln>
      </xdr:spPr>
    </xdr:sp>
    <xdr:clientData/>
  </xdr:twoCellAnchor>
  <xdr:twoCellAnchor>
    <xdr:from>
      <xdr:col>0</xdr:col>
      <xdr:colOff>219075</xdr:colOff>
      <xdr:row>21</xdr:row>
      <xdr:rowOff>104775</xdr:rowOff>
    </xdr:from>
    <xdr:to>
      <xdr:col>12</xdr:col>
      <xdr:colOff>57150</xdr:colOff>
      <xdr:row>27</xdr:row>
      <xdr:rowOff>57150</xdr:rowOff>
    </xdr:to>
    <xdr:sp macro="" textlink="">
      <xdr:nvSpPr>
        <xdr:cNvPr id="2069" name="AutoShape 21">
          <a:extLst>
            <a:ext uri="{FF2B5EF4-FFF2-40B4-BE49-F238E27FC236}">
              <a16:creationId xmlns:a16="http://schemas.microsoft.com/office/drawing/2014/main" id="{00000000-0008-0000-0200-000015080000}"/>
            </a:ext>
          </a:extLst>
        </xdr:cNvPr>
        <xdr:cNvSpPr>
          <a:spLocks noChangeArrowheads="1"/>
        </xdr:cNvSpPr>
      </xdr:nvSpPr>
      <xdr:spPr bwMode="auto">
        <a:xfrm>
          <a:off x="219075" y="4733925"/>
          <a:ext cx="8010525" cy="1000125"/>
        </a:xfrm>
        <a:prstGeom prst="roundRect">
          <a:avLst>
            <a:gd name="adj" fmla="val 6634"/>
          </a:avLst>
        </a:prstGeom>
        <a:solidFill>
          <a:srgbClr val="FFFFFF">
            <a:alpha val="0"/>
          </a:srgbClr>
        </a:solidFill>
        <a:ln w="12700">
          <a:solidFill>
            <a:srgbClr val="000000"/>
          </a:solidFill>
          <a:round/>
          <a:headEnd/>
          <a:tailEnd/>
        </a:ln>
      </xdr:spPr>
    </xdr:sp>
    <xdr:clientData/>
  </xdr:twoCellAnchor>
  <xdr:twoCellAnchor>
    <xdr:from>
      <xdr:col>0</xdr:col>
      <xdr:colOff>177800</xdr:colOff>
      <xdr:row>29</xdr:row>
      <xdr:rowOff>82550</xdr:rowOff>
    </xdr:from>
    <xdr:to>
      <xdr:col>12</xdr:col>
      <xdr:colOff>82550</xdr:colOff>
      <xdr:row>42</xdr:row>
      <xdr:rowOff>76200</xdr:rowOff>
    </xdr:to>
    <xdr:sp macro="" textlink="">
      <xdr:nvSpPr>
        <xdr:cNvPr id="23" name="AutoShape 21">
          <a:extLst>
            <a:ext uri="{FF2B5EF4-FFF2-40B4-BE49-F238E27FC236}">
              <a16:creationId xmlns:a16="http://schemas.microsoft.com/office/drawing/2014/main" id="{00000000-0008-0000-0200-000017000000}"/>
            </a:ext>
          </a:extLst>
        </xdr:cNvPr>
        <xdr:cNvSpPr>
          <a:spLocks noChangeArrowheads="1"/>
        </xdr:cNvSpPr>
      </xdr:nvSpPr>
      <xdr:spPr bwMode="auto">
        <a:xfrm>
          <a:off x="177800" y="6073775"/>
          <a:ext cx="8543925" cy="2174875"/>
        </a:xfrm>
        <a:prstGeom prst="roundRect">
          <a:avLst>
            <a:gd name="adj" fmla="val 6634"/>
          </a:avLst>
        </a:prstGeom>
        <a:solidFill>
          <a:srgbClr val="FFFFFF">
            <a:alpha val="0"/>
          </a:srgbClr>
        </a:solidFill>
        <a:ln w="12700">
          <a:solidFill>
            <a:srgbClr val="000000"/>
          </a:solidFill>
          <a:round/>
          <a:headEnd/>
          <a:tailEnd/>
        </a:ln>
      </xdr:spPr>
    </xdr:sp>
    <xdr:clientData/>
  </xdr:twoCellAnchor>
  <xdr:twoCellAnchor>
    <xdr:from>
      <xdr:col>0</xdr:col>
      <xdr:colOff>206375</xdr:colOff>
      <xdr:row>2</xdr:row>
      <xdr:rowOff>190500</xdr:rowOff>
    </xdr:from>
    <xdr:to>
      <xdr:col>12</xdr:col>
      <xdr:colOff>73025</xdr:colOff>
      <xdr:row>19</xdr:row>
      <xdr:rowOff>76200</xdr:rowOff>
    </xdr:to>
    <xdr:sp macro="" textlink="">
      <xdr:nvSpPr>
        <xdr:cNvPr id="24" name="AutoShape 21">
          <a:extLst>
            <a:ext uri="{FF2B5EF4-FFF2-40B4-BE49-F238E27FC236}">
              <a16:creationId xmlns:a16="http://schemas.microsoft.com/office/drawing/2014/main" id="{00000000-0008-0000-0200-000018000000}"/>
            </a:ext>
          </a:extLst>
        </xdr:cNvPr>
        <xdr:cNvSpPr>
          <a:spLocks noChangeArrowheads="1"/>
        </xdr:cNvSpPr>
      </xdr:nvSpPr>
      <xdr:spPr bwMode="auto">
        <a:xfrm>
          <a:off x="206375" y="596900"/>
          <a:ext cx="8496300" cy="3600450"/>
        </a:xfrm>
        <a:prstGeom prst="roundRect">
          <a:avLst>
            <a:gd name="adj" fmla="val 6634"/>
          </a:avLst>
        </a:prstGeom>
        <a:solidFill>
          <a:srgbClr val="FFFFFF">
            <a:alpha val="0"/>
          </a:srgbClr>
        </a:solidFill>
        <a:ln w="12700">
          <a:solidFill>
            <a:srgbClr val="000000"/>
          </a:solidFill>
          <a:round/>
          <a:headEnd/>
          <a:tailEnd/>
        </a:ln>
      </xdr:spPr>
    </xdr:sp>
    <xdr:clientData/>
  </xdr:twoCellAnchor>
  <xdr:twoCellAnchor>
    <xdr:from>
      <xdr:col>0</xdr:col>
      <xdr:colOff>180976</xdr:colOff>
      <xdr:row>0</xdr:row>
      <xdr:rowOff>95250</xdr:rowOff>
    </xdr:from>
    <xdr:to>
      <xdr:col>1</xdr:col>
      <xdr:colOff>485803</xdr:colOff>
      <xdr:row>2</xdr:row>
      <xdr:rowOff>133350</xdr:rowOff>
    </xdr:to>
    <xdr:pic>
      <xdr:nvPicPr>
        <xdr:cNvPr id="8" name="Image 7">
          <a:extLst>
            <a:ext uri="{FF2B5EF4-FFF2-40B4-BE49-F238E27FC236}">
              <a16:creationId xmlns:a16="http://schemas.microsoft.com/office/drawing/2014/main" id="{087B1CBC-E343-4B11-A55A-D207382DFB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6619" b="6619"/>
        <a:stretch>
          <a:fillRect/>
        </a:stretch>
      </xdr:blipFill>
      <xdr:spPr bwMode="auto">
        <a:xfrm>
          <a:off x="180976" y="95250"/>
          <a:ext cx="542952" cy="44767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755196</xdr:colOff>
      <xdr:row>0</xdr:row>
      <xdr:rowOff>69396</xdr:rowOff>
    </xdr:from>
    <xdr:to>
      <xdr:col>9</xdr:col>
      <xdr:colOff>326570</xdr:colOff>
      <xdr:row>17</xdr:row>
      <xdr:rowOff>121986</xdr:rowOff>
    </xdr:to>
    <xdr:pic>
      <xdr:nvPicPr>
        <xdr:cNvPr id="2" name="Imag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196" y="69396"/>
          <a:ext cx="6796767" cy="30597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581932</xdr:colOff>
      <xdr:row>18</xdr:row>
      <xdr:rowOff>136071</xdr:rowOff>
    </xdr:from>
    <xdr:to>
      <xdr:col>12</xdr:col>
      <xdr:colOff>77561</xdr:colOff>
      <xdr:row>46</xdr:row>
      <xdr:rowOff>121103</xdr:rowOff>
    </xdr:to>
    <xdr:pic>
      <xdr:nvPicPr>
        <xdr:cNvPr id="8" name="Image 7">
          <a:extLst>
            <a:ext uri="{FF2B5EF4-FFF2-40B4-BE49-F238E27FC236}">
              <a16:creationId xmlns:a16="http://schemas.microsoft.com/office/drawing/2014/main" id="{8FE5EBD2-08A8-4A24-B90F-E6D3553C99D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1932" y="3320142"/>
          <a:ext cx="9129486" cy="521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187325</xdr:colOff>
      <xdr:row>52</xdr:row>
      <xdr:rowOff>108857</xdr:rowOff>
    </xdr:from>
    <xdr:to>
      <xdr:col>7</xdr:col>
      <xdr:colOff>774979</xdr:colOff>
      <xdr:row>72</xdr:row>
      <xdr:rowOff>108857</xdr:rowOff>
    </xdr:to>
    <xdr:pic>
      <xdr:nvPicPr>
        <xdr:cNvPr id="11" name="Image 10">
          <a:extLst>
            <a:ext uri="{FF2B5EF4-FFF2-40B4-BE49-F238E27FC236}">
              <a16:creationId xmlns:a16="http://schemas.microsoft.com/office/drawing/2014/main" id="{BAB70953-3CFC-4BB9-BE3E-9ECFC713FD4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7325" y="9579428"/>
          <a:ext cx="6207404" cy="35378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52</xdr:row>
      <xdr:rowOff>176892</xdr:rowOff>
    </xdr:from>
    <xdr:to>
      <xdr:col>16</xdr:col>
      <xdr:colOff>748393</xdr:colOff>
      <xdr:row>79</xdr:row>
      <xdr:rowOff>116345</xdr:rowOff>
    </xdr:to>
    <xdr:pic>
      <xdr:nvPicPr>
        <xdr:cNvPr id="17" name="Image 16">
          <a:extLst>
            <a:ext uri="{FF2B5EF4-FFF2-40B4-BE49-F238E27FC236}">
              <a16:creationId xmlns:a16="http://schemas.microsoft.com/office/drawing/2014/main" id="{EFBA1AF4-AC1C-42C1-89AD-09088B3B05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25393" y="9647463"/>
          <a:ext cx="6368143" cy="4715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23</xdr:row>
      <xdr:rowOff>174623</xdr:rowOff>
    </xdr:from>
    <xdr:to>
      <xdr:col>14</xdr:col>
      <xdr:colOff>495834</xdr:colOff>
      <xdr:row>58</xdr:row>
      <xdr:rowOff>31749</xdr:rowOff>
    </xdr:to>
    <xdr:pic>
      <xdr:nvPicPr>
        <xdr:cNvPr id="6" name="Image 5">
          <a:extLst>
            <a:ext uri="{FF2B5EF4-FFF2-40B4-BE49-F238E27FC236}">
              <a16:creationId xmlns:a16="http://schemas.microsoft.com/office/drawing/2014/main" id="{1C7E74AA-EF4F-41CC-B109-94AC3A9388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0" y="4317998"/>
          <a:ext cx="10401834" cy="6096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68</xdr:row>
      <xdr:rowOff>0</xdr:rowOff>
    </xdr:from>
    <xdr:to>
      <xdr:col>14</xdr:col>
      <xdr:colOff>132501</xdr:colOff>
      <xdr:row>94</xdr:row>
      <xdr:rowOff>158750</xdr:rowOff>
    </xdr:to>
    <xdr:pic>
      <xdr:nvPicPr>
        <xdr:cNvPr id="10" name="Image 9">
          <a:extLst>
            <a:ext uri="{FF2B5EF4-FFF2-40B4-BE49-F238E27FC236}">
              <a16:creationId xmlns:a16="http://schemas.microsoft.com/office/drawing/2014/main" id="{4470BE39-BE39-4BE5-AA50-9306AB96D4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3750" y="12144375"/>
          <a:ext cx="10038501" cy="469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666749</xdr:colOff>
      <xdr:row>1</xdr:row>
      <xdr:rowOff>44450</xdr:rowOff>
    </xdr:from>
    <xdr:to>
      <xdr:col>17</xdr:col>
      <xdr:colOff>182496</xdr:colOff>
      <xdr:row>18</xdr:row>
      <xdr:rowOff>190500</xdr:rowOff>
    </xdr:to>
    <xdr:pic>
      <xdr:nvPicPr>
        <xdr:cNvPr id="12" name="Image 11">
          <a:extLst>
            <a:ext uri="{FF2B5EF4-FFF2-40B4-BE49-F238E27FC236}">
              <a16:creationId xmlns:a16="http://schemas.microsoft.com/office/drawing/2014/main" id="{7B262EF1-176E-4815-93DF-44B5EE78291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49" y="219075"/>
          <a:ext cx="12596747" cy="317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S53"/>
  <sheetViews>
    <sheetView showGridLines="0" tabSelected="1" zoomScale="80" zoomScaleNormal="80" workbookViewId="0">
      <pane xSplit="3" ySplit="4" topLeftCell="D5" activePane="bottomRight" state="frozen"/>
      <selection pane="topRight" activeCell="D1" sqref="D1"/>
      <selection pane="bottomLeft" activeCell="A2" sqref="A2"/>
      <selection pane="bottomRight" activeCell="E19" sqref="E19"/>
    </sheetView>
  </sheetViews>
  <sheetFormatPr baseColWidth="10" defaultColWidth="11.44140625" defaultRowHeight="15.6" x14ac:dyDescent="0.3"/>
  <cols>
    <col min="1" max="1" width="11.44140625" style="21"/>
    <col min="2" max="2" width="58.77734375" style="21" customWidth="1"/>
    <col min="3" max="3" width="0.21875" style="21" customWidth="1"/>
    <col min="4" max="4" width="11.44140625" style="21"/>
    <col min="5" max="5" width="13.21875" style="21" customWidth="1"/>
    <col min="6" max="6" width="6.77734375" style="21" customWidth="1"/>
    <col min="7" max="13" width="11.44140625" style="21"/>
    <col min="14" max="14" width="20.5546875" style="21" customWidth="1"/>
    <col min="15" max="15" width="11.44140625" style="21"/>
    <col min="16" max="16" width="15.21875" style="21" bestFit="1" customWidth="1"/>
    <col min="17" max="16384" width="11.44140625" style="21"/>
  </cols>
  <sheetData>
    <row r="1" spans="1:19" ht="18" x14ac:dyDescent="0.35">
      <c r="B1" s="93" t="s">
        <v>144</v>
      </c>
      <c r="D1" s="162" t="s">
        <v>152</v>
      </c>
      <c r="E1" s="162"/>
      <c r="F1" s="162"/>
      <c r="G1" s="162"/>
      <c r="H1" s="162"/>
      <c r="I1" s="158" t="s">
        <v>149</v>
      </c>
      <c r="J1" s="158"/>
      <c r="K1" s="158"/>
      <c r="L1" s="158"/>
      <c r="M1" s="158"/>
      <c r="N1" s="158"/>
    </row>
    <row r="2" spans="1:19" x14ac:dyDescent="0.3">
      <c r="B2" s="93"/>
      <c r="D2" s="162"/>
      <c r="E2" s="162"/>
      <c r="F2" s="162"/>
      <c r="G2" s="162"/>
      <c r="H2" s="162"/>
      <c r="I2" s="158"/>
      <c r="J2" s="158"/>
      <c r="K2" s="158"/>
      <c r="L2" s="158"/>
      <c r="M2" s="158"/>
      <c r="N2" s="158"/>
    </row>
    <row r="3" spans="1:19" ht="5.25" customHeight="1" x14ac:dyDescent="0.3">
      <c r="A3" s="94"/>
      <c r="B3" s="95"/>
      <c r="C3" s="94"/>
      <c r="D3" s="105"/>
      <c r="E3" s="94"/>
      <c r="F3" s="94"/>
      <c r="G3" s="94"/>
      <c r="H3" s="94"/>
      <c r="I3" s="94"/>
      <c r="J3" s="94"/>
      <c r="K3" s="94"/>
      <c r="L3" s="94"/>
      <c r="M3" s="94"/>
      <c r="N3" s="94"/>
      <c r="O3" s="94"/>
    </row>
    <row r="4" spans="1:19" x14ac:dyDescent="0.3">
      <c r="B4" s="21" t="s">
        <v>143</v>
      </c>
      <c r="E4" s="41" t="s">
        <v>47</v>
      </c>
      <c r="G4" s="42" t="s">
        <v>48</v>
      </c>
    </row>
    <row r="5" spans="1:19" x14ac:dyDescent="0.3">
      <c r="A5" s="43" t="s">
        <v>7</v>
      </c>
      <c r="B5" s="43"/>
      <c r="C5" s="43"/>
      <c r="D5" s="43"/>
      <c r="E5" s="44">
        <f ca="1">TODAY()</f>
        <v>44582</v>
      </c>
    </row>
    <row r="6" spans="1:19" x14ac:dyDescent="0.3">
      <c r="A6" s="43"/>
      <c r="B6" s="43"/>
      <c r="C6" s="43"/>
      <c r="D6" s="43"/>
      <c r="E6" s="80"/>
      <c r="G6" s="83" t="s">
        <v>151</v>
      </c>
    </row>
    <row r="7" spans="1:19" x14ac:dyDescent="0.3">
      <c r="A7" s="45" t="s">
        <v>49</v>
      </c>
      <c r="B7" s="45"/>
      <c r="C7" s="45"/>
      <c r="D7" s="45"/>
      <c r="E7" s="81"/>
      <c r="F7" s="46"/>
      <c r="G7" s="46"/>
      <c r="H7" s="46"/>
      <c r="I7" s="46"/>
      <c r="J7" s="46"/>
      <c r="K7" s="46"/>
      <c r="L7" s="46"/>
      <c r="M7" s="46"/>
      <c r="N7" s="46"/>
      <c r="O7" s="46"/>
    </row>
    <row r="8" spans="1:19" s="48" customFormat="1" x14ac:dyDescent="0.3">
      <c r="A8" s="43"/>
      <c r="B8" s="43"/>
      <c r="C8" s="43"/>
      <c r="D8" s="43" t="s">
        <v>113</v>
      </c>
      <c r="E8" s="47" t="s">
        <v>137</v>
      </c>
    </row>
    <row r="9" spans="1:19" s="48" customFormat="1" x14ac:dyDescent="0.3">
      <c r="A9" s="43"/>
      <c r="B9" s="43"/>
      <c r="C9" s="43"/>
      <c r="D9" s="43" t="s">
        <v>114</v>
      </c>
      <c r="E9" s="47" t="s">
        <v>153</v>
      </c>
    </row>
    <row r="10" spans="1:19" s="48" customFormat="1" x14ac:dyDescent="0.3">
      <c r="A10" s="43"/>
      <c r="B10" s="43"/>
      <c r="C10" s="43"/>
      <c r="D10" s="49" t="s">
        <v>74</v>
      </c>
      <c r="E10" s="77" t="s">
        <v>154</v>
      </c>
    </row>
    <row r="11" spans="1:19" x14ac:dyDescent="0.3">
      <c r="A11" s="21" t="s">
        <v>145</v>
      </c>
      <c r="E11" s="50" t="s">
        <v>38</v>
      </c>
      <c r="R11" s="51" t="s">
        <v>51</v>
      </c>
      <c r="S11" s="51"/>
    </row>
    <row r="12" spans="1:19" x14ac:dyDescent="0.3">
      <c r="A12" s="21" t="s">
        <v>45</v>
      </c>
      <c r="D12" s="51" t="str">
        <f>G12</f>
        <v/>
      </c>
      <c r="E12" s="41">
        <v>10</v>
      </c>
      <c r="F12" s="52">
        <f>IF(G12="",1,0)</f>
        <v>1</v>
      </c>
      <c r="G12" s="160" t="str">
        <f>IF(AND((E11="IC"),(OR((E12&lt;4),(E12&gt;13)))),"Vous n'avez pas tapé un Grade valide",(IF(AND(OR((E11="ouvrier"),(E11="ATAM")),(OR((E12&lt;6),(E12&gt;18)))),"Vous n'avez pas tapé un Groupe de poste valide",(IF(AND((E11="IC"),(AND((E12&lt;14),(E12&gt;10)))),"La direction ne nous fournit pas les éléments au dessus du grade 10","")))))</f>
        <v/>
      </c>
      <c r="H12" s="160"/>
      <c r="I12" s="160"/>
      <c r="J12" s="160"/>
      <c r="K12" s="160"/>
      <c r="L12" s="160"/>
      <c r="R12" s="51" t="s">
        <v>52</v>
      </c>
      <c r="S12" s="51"/>
    </row>
    <row r="13" spans="1:19" x14ac:dyDescent="0.3">
      <c r="B13" s="21" t="s">
        <v>57</v>
      </c>
      <c r="D13" s="53" t="str">
        <f>G13</f>
        <v/>
      </c>
      <c r="E13" s="50">
        <v>190</v>
      </c>
      <c r="F13" s="52">
        <f>IF(G13="",1,0)</f>
        <v>1</v>
      </c>
      <c r="G13" s="159" t="str">
        <f>IF(AND((E11="IC"),(AND((E13&lt;400),(E13&gt;150)))),"Vous n'avez pas tapé une classification IC",(IF(OR(AND((E13&lt;400),(E13&gt;150)),(E11="IC")),"","Vous n'avez pas tapé un coefficient OATAM")))</f>
        <v/>
      </c>
      <c r="H13" s="159"/>
      <c r="I13" s="159"/>
      <c r="J13" s="159"/>
      <c r="R13" s="51" t="s">
        <v>53</v>
      </c>
      <c r="S13" s="51"/>
    </row>
    <row r="14" spans="1:19" ht="25.8" x14ac:dyDescent="0.3">
      <c r="B14" s="21" t="s">
        <v>28</v>
      </c>
      <c r="E14" s="41">
        <v>2000</v>
      </c>
      <c r="K14" s="98"/>
      <c r="R14" s="51" t="s">
        <v>54</v>
      </c>
      <c r="S14" s="51"/>
    </row>
    <row r="15" spans="1:19" ht="23.25" customHeight="1" x14ac:dyDescent="0.3">
      <c r="B15" s="54" t="s">
        <v>30</v>
      </c>
      <c r="C15" s="48"/>
      <c r="D15" s="48"/>
      <c r="E15" s="78"/>
      <c r="J15" s="161" t="s">
        <v>55</v>
      </c>
      <c r="K15" s="161"/>
      <c r="L15" s="161"/>
      <c r="M15" s="161"/>
      <c r="N15" s="98"/>
      <c r="R15" s="51">
        <v>1</v>
      </c>
      <c r="S15" s="51"/>
    </row>
    <row r="16" spans="1:19" ht="15.75" customHeight="1" x14ac:dyDescent="0.3">
      <c r="B16" s="21" t="s">
        <v>56</v>
      </c>
      <c r="E16" s="55">
        <v>0</v>
      </c>
      <c r="J16" s="98"/>
      <c r="K16" s="98"/>
      <c r="L16" s="98"/>
      <c r="M16" s="98"/>
      <c r="N16" s="98"/>
      <c r="R16" s="51">
        <v>2</v>
      </c>
      <c r="S16" s="51"/>
    </row>
    <row r="17" spans="1:19" ht="15.75" customHeight="1" x14ac:dyDescent="0.3">
      <c r="A17" s="21" t="s">
        <v>46</v>
      </c>
      <c r="E17" s="41">
        <v>7</v>
      </c>
      <c r="J17" s="161" t="s">
        <v>148</v>
      </c>
      <c r="K17" s="161"/>
      <c r="L17" s="161"/>
      <c r="M17" s="161"/>
      <c r="N17" s="161"/>
      <c r="R17" s="51">
        <v>3</v>
      </c>
      <c r="S17" s="51"/>
    </row>
    <row r="18" spans="1:19" ht="15" customHeight="1" x14ac:dyDescent="0.3">
      <c r="E18" s="79"/>
      <c r="J18" s="161"/>
      <c r="K18" s="161"/>
      <c r="L18" s="161"/>
      <c r="M18" s="161"/>
      <c r="N18" s="161"/>
      <c r="O18" s="99"/>
      <c r="P18" s="99"/>
      <c r="Q18" s="99"/>
      <c r="R18" s="99"/>
      <c r="S18" s="51"/>
    </row>
    <row r="19" spans="1:19" ht="15.75" customHeight="1" x14ac:dyDescent="0.3">
      <c r="A19" s="21" t="str">
        <f ca="1">IF(D19&lt;&gt;"",CONCATENATE("Evaluation ",D19," sur la performance ",D19-1),"")</f>
        <v>Evaluation 2022 sur la performance 2021</v>
      </c>
      <c r="D19" s="56">
        <f ca="1">YEAR(E5)</f>
        <v>2022</v>
      </c>
      <c r="E19" s="41" t="s">
        <v>54</v>
      </c>
      <c r="K19" s="99"/>
      <c r="L19" s="99"/>
      <c r="M19" s="99"/>
      <c r="N19" s="99"/>
      <c r="O19" s="99"/>
      <c r="P19" s="99"/>
      <c r="Q19" s="99"/>
      <c r="R19" s="99"/>
      <c r="S19" s="51"/>
    </row>
    <row r="20" spans="1:19" s="48" customFormat="1" x14ac:dyDescent="0.3">
      <c r="A20" s="43"/>
      <c r="E20" s="78"/>
    </row>
    <row r="21" spans="1:19" s="48" customFormat="1" x14ac:dyDescent="0.3">
      <c r="A21" s="43"/>
      <c r="E21" s="78"/>
    </row>
    <row r="22" spans="1:19" s="48" customFormat="1" x14ac:dyDescent="0.3">
      <c r="A22" s="43"/>
      <c r="E22" s="78"/>
    </row>
    <row r="23" spans="1:19" x14ac:dyDescent="0.3">
      <c r="A23" s="45" t="s">
        <v>60</v>
      </c>
      <c r="B23" s="46"/>
      <c r="C23" s="46"/>
      <c r="D23" s="46"/>
      <c r="E23" s="82"/>
      <c r="F23" s="46"/>
      <c r="G23" s="46"/>
      <c r="H23" s="46"/>
      <c r="I23" s="46"/>
      <c r="J23" s="46"/>
      <c r="K23" s="46"/>
      <c r="L23" s="46"/>
      <c r="M23" s="46"/>
      <c r="N23" s="46"/>
      <c r="O23" s="46"/>
    </row>
    <row r="24" spans="1:19" x14ac:dyDescent="0.3">
      <c r="D24" s="21" t="s">
        <v>146</v>
      </c>
      <c r="F24" s="57" t="str">
        <f>IF(E19&lt;&gt;0,E19,"")</f>
        <v>Non Performant</v>
      </c>
      <c r="G24" s="57"/>
    </row>
    <row r="25" spans="1:19" x14ac:dyDescent="0.3">
      <c r="D25" s="58" t="str">
        <f>IF(E17&lt;=2,"vous êtes en accueil de votre poste",IF(E17&lt;=5,IF(AND((E19&lt;&gt;"Non Performant"),E19&lt;&gt;2,E19&lt;&gt;1),"vous semblez proche de la maîtrise de votre poste, sous réserve d'évaluations globalement positives sur la  durée d'occupation du poste","vous ne semblez pas remplir tous les critères de maîtrise du poste"),IF((E19&lt;&gt;"Non Performant"),"vous semblez être à minima en maîtrise de votre poste  et proche de l'expertise","vous ne semblez pas remplir tous les critères de maîtrise du poste")))</f>
        <v>vous ne semblez pas remplir tous les critères de maîtrise du poste</v>
      </c>
      <c r="E25" s="42"/>
      <c r="F25" s="42"/>
      <c r="G25" s="42"/>
      <c r="H25" s="42"/>
      <c r="I25" s="42"/>
      <c r="J25" s="42"/>
      <c r="K25" s="42"/>
      <c r="L25" s="42"/>
      <c r="M25" s="42"/>
      <c r="N25" s="42"/>
      <c r="O25" s="42"/>
    </row>
    <row r="27" spans="1:19" x14ac:dyDescent="0.3">
      <c r="B27" s="21" t="s">
        <v>61</v>
      </c>
      <c r="E27" s="59">
        <f>IF(OR(E11="ouvrier",E11="Atam"),VLOOKUP(E12,Données!G25:H37,2,FALSE),VLOOKUP(E12,Données!G38:H42,2,TRUE))</f>
        <v>225</v>
      </c>
      <c r="G27" s="1" t="str">
        <f>IF(OR(D25="vous êtes en accueil de votre poste",D25="vous ne semblez pas remplir tous les critères de maîtrise du poste"),"",IF(AND(OR(E11="ouvrier",E11="Atam"),E27&gt;E13),"vous pouvez discuter du changement de votre niveau de qualification (promotion) avec votre hiérarchie et la fonction RH",IF(E27&lt;E13,"votre qualification est déjà au dessus de celle correspondant à la maîtrise de votre poste",IF(E27=E13,"votre qualification reflète la maîtrise de votre poste","vous pouvez discuter du changement de votre niveau de qualification (promotion) avec votre hiérarchie et la fonction RH"))))</f>
        <v/>
      </c>
    </row>
    <row r="29" spans="1:19" x14ac:dyDescent="0.3">
      <c r="B29" s="25" t="s">
        <v>31</v>
      </c>
      <c r="C29" s="22"/>
      <c r="D29" s="22"/>
      <c r="E29" s="76">
        <f>ROUND((E14*12*(1+E16))/1000,1)</f>
        <v>24</v>
      </c>
      <c r="F29" s="22" t="s">
        <v>32</v>
      </c>
    </row>
    <row r="30" spans="1:19" ht="16.2" thickBot="1" x14ac:dyDescent="0.35"/>
    <row r="31" spans="1:19" x14ac:dyDescent="0.3">
      <c r="A31" s="60" t="s">
        <v>59</v>
      </c>
      <c r="B31" s="61"/>
      <c r="C31" s="61"/>
      <c r="D31" s="61"/>
      <c r="E31" s="61"/>
      <c r="F31" s="61"/>
      <c r="G31" s="61"/>
      <c r="H31" s="61"/>
      <c r="I31" s="61"/>
      <c r="J31" s="61"/>
      <c r="K31" s="61"/>
      <c r="L31" s="61"/>
      <c r="M31" s="61"/>
      <c r="N31" s="61"/>
      <c r="O31" s="62"/>
    </row>
    <row r="32" spans="1:19" x14ac:dyDescent="0.3">
      <c r="A32" s="63"/>
      <c r="B32" s="2" t="s">
        <v>58</v>
      </c>
      <c r="C32" s="2"/>
      <c r="D32" s="2"/>
      <c r="E32" s="64">
        <f>IF(OR(E11="ouvrier",E11="Atam"),VLOOKUP(E12,Données!M25:N37,2,FALSE),VLOOKUP(E12,Données!M40:N49,2,FALSE))</f>
        <v>28.5</v>
      </c>
      <c r="F32" s="2" t="s">
        <v>32</v>
      </c>
      <c r="G32" s="2"/>
      <c r="H32" s="2"/>
      <c r="I32" s="2"/>
      <c r="J32" s="2"/>
      <c r="K32" s="2"/>
      <c r="L32" s="2"/>
      <c r="M32" s="2"/>
      <c r="N32" s="2"/>
      <c r="O32" s="65"/>
    </row>
    <row r="33" spans="1:15" x14ac:dyDescent="0.3">
      <c r="A33" s="63"/>
      <c r="B33" s="2"/>
      <c r="C33" s="2"/>
      <c r="D33" s="2"/>
      <c r="E33" s="2"/>
      <c r="F33" s="2"/>
      <c r="G33" s="2"/>
      <c r="H33" s="2"/>
      <c r="I33" s="2"/>
      <c r="J33" s="2"/>
      <c r="K33" s="2"/>
      <c r="L33" s="2"/>
      <c r="M33" s="2"/>
      <c r="N33" s="2"/>
      <c r="O33" s="65"/>
    </row>
    <row r="34" spans="1:15" x14ac:dyDescent="0.3">
      <c r="A34" s="63"/>
      <c r="B34" s="2" t="s">
        <v>33</v>
      </c>
      <c r="C34" s="2"/>
      <c r="D34" s="2"/>
      <c r="E34" s="66">
        <f>-ROUND((E32-E29)/E32,3)</f>
        <v>-0.158</v>
      </c>
      <c r="F34" s="2"/>
      <c r="G34" s="2" t="str">
        <f>IF(E34&lt;-0.1,"l'écart significatif ("&amp;ROUND(E34*100,1)&amp;"%) entre votre salaire et le salaire médian du marché de votre poste justifie une augmentation",IF(E34&lt;0,"votre salaire est inférieur au salaire médian de marché de votre poste."&amp;ROUND(E34*100,1)&amp;"%","votre salaire est supérieur au salaire médian de marché de votre poste"))</f>
        <v>l'écart significatif (-15,8%) entre votre salaire et le salaire médian du marché de votre poste justifie une augmentation</v>
      </c>
      <c r="H34" s="2"/>
      <c r="I34" s="2"/>
      <c r="J34" s="2"/>
      <c r="K34" s="2"/>
      <c r="L34" s="2"/>
      <c r="M34" s="2"/>
      <c r="N34" s="2"/>
      <c r="O34" s="65"/>
    </row>
    <row r="35" spans="1:15" ht="16.2" thickBot="1" x14ac:dyDescent="0.35">
      <c r="A35" s="67"/>
      <c r="B35" s="68" t="s">
        <v>62</v>
      </c>
      <c r="C35" s="68"/>
      <c r="D35" s="68"/>
      <c r="E35" s="69">
        <f>ROUND(1+E34,2)</f>
        <v>0.84</v>
      </c>
      <c r="F35" s="70"/>
      <c r="G35" s="71" t="s">
        <v>119</v>
      </c>
      <c r="H35" s="70"/>
      <c r="I35" s="70"/>
      <c r="J35" s="70"/>
      <c r="K35" s="70"/>
      <c r="L35" s="70"/>
      <c r="M35" s="70"/>
      <c r="N35" s="70"/>
      <c r="O35" s="72"/>
    </row>
    <row r="36" spans="1:15" ht="16.2" thickBot="1" x14ac:dyDescent="0.35"/>
    <row r="37" spans="1:15" x14ac:dyDescent="0.3">
      <c r="A37" s="60" t="s">
        <v>122</v>
      </c>
      <c r="B37" s="61"/>
      <c r="C37" s="61"/>
      <c r="D37" s="61"/>
      <c r="E37" s="61"/>
      <c r="F37" s="61"/>
      <c r="G37" s="61"/>
      <c r="H37" s="61"/>
      <c r="I37" s="61"/>
      <c r="J37" s="61"/>
      <c r="K37" s="61"/>
      <c r="L37" s="61"/>
      <c r="M37" s="61"/>
      <c r="N37" s="61"/>
      <c r="O37" s="62"/>
    </row>
    <row r="38" spans="1:15" x14ac:dyDescent="0.3">
      <c r="A38" s="63"/>
      <c r="B38" s="2" t="s">
        <v>123</v>
      </c>
      <c r="C38" s="2"/>
      <c r="D38" s="2"/>
      <c r="E38" s="90">
        <f>IF(E11="Ouvrier",VLOOKUP(E13,Données!I58:K76,2,FALSE),(IF(E11="ATAM",VLOOKUP(E13,Données!I58:K76,3,FALSE),(IF(E11="IC",VLOOKUP(E13,Données!I58:K76,2,FALSE),FALSE)))))</f>
        <v>2180</v>
      </c>
      <c r="F38" s="2" t="s">
        <v>112</v>
      </c>
      <c r="G38" s="2"/>
      <c r="H38" s="2"/>
      <c r="I38" s="2"/>
      <c r="J38" s="2"/>
      <c r="K38" s="2"/>
      <c r="L38" s="2"/>
      <c r="M38" s="2"/>
      <c r="N38" s="2"/>
      <c r="O38" s="65"/>
    </row>
    <row r="39" spans="1:15" x14ac:dyDescent="0.3">
      <c r="A39" s="63"/>
      <c r="B39" s="2" t="s">
        <v>41</v>
      </c>
      <c r="C39" s="2"/>
      <c r="D39" s="2"/>
      <c r="E39" s="66">
        <f>IF(E11="IC",VLOOKUP(E13,Données!I58:K76,3,),0)</f>
        <v>0</v>
      </c>
      <c r="F39" s="2"/>
      <c r="G39" s="2"/>
      <c r="H39" s="2"/>
      <c r="I39" s="2"/>
      <c r="J39" s="2"/>
      <c r="K39" s="2"/>
      <c r="L39" s="2"/>
      <c r="M39" s="2"/>
      <c r="N39" s="2"/>
      <c r="O39" s="65"/>
    </row>
    <row r="40" spans="1:15" x14ac:dyDescent="0.3">
      <c r="A40" s="63"/>
      <c r="B40" s="2" t="s">
        <v>124</v>
      </c>
      <c r="C40" s="2"/>
      <c r="D40" s="2"/>
      <c r="E40" s="73">
        <f>E38*12*(1+E39)/1000</f>
        <v>26.16</v>
      </c>
      <c r="F40" s="2" t="s">
        <v>120</v>
      </c>
      <c r="G40" s="2"/>
      <c r="H40" s="2"/>
      <c r="I40" s="2"/>
      <c r="J40" s="2"/>
      <c r="K40" s="2"/>
      <c r="L40" s="2"/>
      <c r="M40" s="2"/>
      <c r="N40" s="2"/>
      <c r="O40" s="65"/>
    </row>
    <row r="41" spans="1:15" x14ac:dyDescent="0.3">
      <c r="A41" s="63"/>
      <c r="B41" s="2"/>
      <c r="C41" s="2"/>
      <c r="D41" s="2"/>
      <c r="E41" s="2"/>
      <c r="F41" s="2"/>
      <c r="G41" s="2"/>
      <c r="H41" s="2"/>
      <c r="I41" s="2"/>
      <c r="J41" s="2"/>
      <c r="K41" s="2"/>
      <c r="L41" s="2"/>
      <c r="M41" s="2"/>
      <c r="N41" s="2"/>
      <c r="O41" s="65"/>
    </row>
    <row r="42" spans="1:15" ht="16.2" thickBot="1" x14ac:dyDescent="0.35">
      <c r="A42" s="67"/>
      <c r="B42" s="70" t="s">
        <v>125</v>
      </c>
      <c r="C42" s="70"/>
      <c r="D42" s="70"/>
      <c r="E42" s="74">
        <f>ROUND(E29/E40-1,3)</f>
        <v>-8.3000000000000004E-2</v>
      </c>
      <c r="F42" s="70"/>
      <c r="G42" s="70" t="str">
        <f>IF(E42&lt;0,"Votre salaire est inférieur au salaire moyen des salariés SEI-SEF à statut et qualification identique "&amp;ROUND(E42*100,1)&amp;"%","Votre salaire est supérieur au salaire moyen des salariés SEI-SEF à statut et qualification identique")</f>
        <v>Votre salaire est inférieur au salaire moyen des salariés SEI-SEF à statut et qualification identique -8,3%</v>
      </c>
      <c r="H42" s="70"/>
      <c r="I42" s="70"/>
      <c r="J42" s="70"/>
      <c r="K42" s="70"/>
      <c r="L42" s="70"/>
      <c r="M42" s="70"/>
      <c r="N42" s="70"/>
      <c r="O42" s="72"/>
    </row>
    <row r="49" spans="11:11" x14ac:dyDescent="0.3">
      <c r="K49" s="75"/>
    </row>
    <row r="50" spans="11:11" x14ac:dyDescent="0.3">
      <c r="K50" s="75"/>
    </row>
    <row r="51" spans="11:11" x14ac:dyDescent="0.3">
      <c r="K51" s="75"/>
    </row>
    <row r="52" spans="11:11" x14ac:dyDescent="0.3">
      <c r="K52" s="75"/>
    </row>
    <row r="53" spans="11:11" x14ac:dyDescent="0.3">
      <c r="K53" s="75"/>
    </row>
  </sheetData>
  <sheetProtection algorithmName="SHA-512" hashValue="ro3AJdQor+eMWb3ZrjfdeoK1ajH4oMjPlvTx3dIytSnFlaXN53p/nvIvYuljHGrdgD8izG9GdHQxWhDT6JZZ7Q==" saltValue="/oQdUY9HSiFYBti4FBap/g==" spinCount="100000" sheet="1" selectLockedCells="1"/>
  <mergeCells count="6">
    <mergeCell ref="I1:N2"/>
    <mergeCell ref="G13:J13"/>
    <mergeCell ref="G12:L12"/>
    <mergeCell ref="J15:M15"/>
    <mergeCell ref="J17:N18"/>
    <mergeCell ref="D1:H2"/>
  </mergeCells>
  <conditionalFormatting sqref="E42 E34">
    <cfRule type="cellIs" dxfId="13" priority="23" operator="lessThan">
      <formula>0</formula>
    </cfRule>
  </conditionalFormatting>
  <conditionalFormatting sqref="G34">
    <cfRule type="expression" dxfId="12" priority="2">
      <formula>$E$34&lt;-0.1</formula>
    </cfRule>
    <cfRule type="expression" dxfId="11" priority="18">
      <formula>E34&gt;0</formula>
    </cfRule>
    <cfRule type="expression" dxfId="10" priority="20">
      <formula>$E$34&lt;0</formula>
    </cfRule>
  </conditionalFormatting>
  <conditionalFormatting sqref="G42">
    <cfRule type="expression" dxfId="9" priority="14">
      <formula>E42&gt;0</formula>
    </cfRule>
    <cfRule type="expression" dxfId="8" priority="15">
      <formula>$E$42&lt;0</formula>
    </cfRule>
  </conditionalFormatting>
  <conditionalFormatting sqref="G12">
    <cfRule type="containsText" dxfId="7" priority="11" operator="containsText" text="valide">
      <formula>NOT(ISERROR(SEARCH("valide",G12)))</formula>
    </cfRule>
  </conditionalFormatting>
  <conditionalFormatting sqref="D12">
    <cfRule type="notContainsBlanks" dxfId="6" priority="9">
      <formula>LEN(TRIM(D12))&gt;0</formula>
    </cfRule>
  </conditionalFormatting>
  <conditionalFormatting sqref="F12">
    <cfRule type="iconSet" priority="7">
      <iconSet iconSet="3Symbols2">
        <cfvo type="percent" val="0"/>
        <cfvo type="num" val="0.5"/>
        <cfvo type="num" val="1"/>
      </iconSet>
    </cfRule>
  </conditionalFormatting>
  <conditionalFormatting sqref="F13">
    <cfRule type="iconSet" priority="6">
      <iconSet iconSet="3Symbols2">
        <cfvo type="percent" val="0"/>
        <cfvo type="num" val="0.5"/>
        <cfvo type="num" val="1"/>
      </iconSet>
    </cfRule>
  </conditionalFormatting>
  <conditionalFormatting sqref="G13">
    <cfRule type="containsText" dxfId="5" priority="4" operator="containsText" text="Vous">
      <formula>NOT(ISERROR(SEARCH("Vous",G13)))</formula>
    </cfRule>
  </conditionalFormatting>
  <conditionalFormatting sqref="D13">
    <cfRule type="containsText" dxfId="4" priority="3" operator="containsText" text="Vous">
      <formula>NOT(ISERROR(SEARCH("Vous",D13)))</formula>
    </cfRule>
  </conditionalFormatting>
  <dataValidations xWindow="579" yWindow="397" count="5">
    <dataValidation type="whole" allowBlank="1" showInputMessage="1" showErrorMessage="1" sqref="E17" xr:uid="{00000000-0002-0000-0000-000000000000}">
      <formula1>0</formula1>
      <formula2>45</formula2>
    </dataValidation>
    <dataValidation type="whole" allowBlank="1" showInputMessage="1" showErrorMessage="1" prompt="entrer le groupe de poste entre 6 et 18 pour les OATAM et entre 4 et 10 pour les IC" sqref="E12" xr:uid="{00000000-0002-0000-0000-000001000000}">
      <formula1>4</formula1>
      <formula2>18</formula2>
    </dataValidation>
    <dataValidation type="date" allowBlank="1" showInputMessage="1" showErrorMessage="1" prompt="entrer une date au format jj/mm/aaaa" sqref="E5" xr:uid="{00000000-0002-0000-0000-000002000000}">
      <formula1>42370</formula1>
      <formula2>47484</formula2>
    </dataValidation>
    <dataValidation type="list" allowBlank="1" showInputMessage="1" showErrorMessage="1" sqref="M7:M10" xr:uid="{00000000-0002-0000-0000-000003000000}">
      <formula1>$R$11:$R$14</formula1>
    </dataValidation>
    <dataValidation type="whole" allowBlank="1" showInputMessage="1" showErrorMessage="1" sqref="E20:E23" xr:uid="{00000000-0002-0000-0000-000004000000}">
      <formula1>1</formula1>
      <formula2>5</formula2>
    </dataValidation>
  </dataValidations>
  <pageMargins left="0.11811023622047245" right="0.11811023622047245" top="0.35433070866141736" bottom="0" header="0" footer="0"/>
  <pageSetup scale="51" orientation="landscape" r:id="rId1"/>
  <headerFooter>
    <oddFooter>&amp;C&amp;1#&amp;"Arial"&amp;6&amp;K626469Internal</oddFooter>
  </headerFooter>
  <drawing r:id="rId2"/>
  <extLst>
    <ext xmlns:x14="http://schemas.microsoft.com/office/spreadsheetml/2009/9/main" uri="{CCE6A557-97BC-4b89-ADB6-D9C93CAAB3DF}">
      <x14:dataValidations xmlns:xm="http://schemas.microsoft.com/office/excel/2006/main" xWindow="579" yWindow="397" count="3">
        <x14:dataValidation type="list" allowBlank="1" showInputMessage="1" showErrorMessage="1" prompt="OATAM : notez votre coefficient entre 155 et 395,_x000a_Ingénieur et cadre notez votre classification entre 1 et 3C_x000a_Choisissez dans la liste déroulante" xr:uid="{00000000-0002-0000-0000-000005000000}">
          <x14:formula1>
            <xm:f>Données!$H$25:$H$42</xm:f>
          </x14:formula1>
          <xm:sqref>E13</xm:sqref>
        </x14:dataValidation>
        <x14:dataValidation type="list" allowBlank="1" showInputMessage="1" showErrorMessage="1" xr:uid="{00000000-0002-0000-0000-000006000000}">
          <x14:formula1>
            <xm:f>Données!$J$4:$J$6</xm:f>
          </x14:formula1>
          <xm:sqref>E11</xm:sqref>
        </x14:dataValidation>
        <x14:dataValidation type="list" allowBlank="1" showInputMessage="1" showErrorMessage="1" xr:uid="{00000000-0002-0000-0000-000007000000}">
          <x14:formula1>
            <xm:f>Données!$I$10:$I$18</xm:f>
          </x14:formula1>
          <xm:sqref>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8"/>
  <sheetViews>
    <sheetView zoomScale="70" zoomScaleNormal="70" workbookViewId="0">
      <pane xSplit="3" ySplit="1" topLeftCell="D2" activePane="bottomRight" state="frozen"/>
      <selection pane="topRight" activeCell="D1" sqref="D1"/>
      <selection pane="bottomLeft" activeCell="A2" sqref="A2"/>
      <selection pane="bottomRight" activeCell="D19" sqref="D19"/>
    </sheetView>
  </sheetViews>
  <sheetFormatPr baseColWidth="10" defaultColWidth="11.44140625" defaultRowHeight="14.4" x14ac:dyDescent="0.3"/>
  <cols>
    <col min="1" max="1" width="11.44140625" style="106"/>
    <col min="2" max="2" width="35.5546875" style="106" customWidth="1"/>
    <col min="3" max="13" width="11.44140625" style="106"/>
    <col min="14" max="14" width="15.21875" style="106" customWidth="1"/>
    <col min="15" max="16384" width="11.44140625" style="106"/>
  </cols>
  <sheetData>
    <row r="1" spans="1:15" x14ac:dyDescent="0.3">
      <c r="B1" s="106" t="s">
        <v>27</v>
      </c>
      <c r="E1" s="106" t="s">
        <v>26</v>
      </c>
      <c r="I1" s="107" t="s">
        <v>147</v>
      </c>
      <c r="J1" s="108"/>
      <c r="K1" s="108"/>
      <c r="L1" s="108"/>
    </row>
    <row r="3" spans="1:15" x14ac:dyDescent="0.3">
      <c r="A3" s="106" t="s">
        <v>7</v>
      </c>
      <c r="E3" s="109">
        <v>42463</v>
      </c>
      <c r="N3" s="106">
        <f>0.4*140</f>
        <v>56</v>
      </c>
    </row>
    <row r="4" spans="1:15" x14ac:dyDescent="0.3">
      <c r="A4" s="106" t="s">
        <v>1</v>
      </c>
      <c r="E4" s="106" t="s">
        <v>4</v>
      </c>
      <c r="G4" s="106" t="s">
        <v>0</v>
      </c>
      <c r="J4" s="106" t="s">
        <v>3</v>
      </c>
      <c r="N4" s="106">
        <f>82.22*0.3</f>
        <v>24.666</v>
      </c>
    </row>
    <row r="5" spans="1:15" x14ac:dyDescent="0.3">
      <c r="A5" s="106" t="s">
        <v>2</v>
      </c>
      <c r="E5" s="106">
        <v>8</v>
      </c>
      <c r="J5" s="106" t="s">
        <v>4</v>
      </c>
      <c r="N5" s="106">
        <v>42</v>
      </c>
    </row>
    <row r="6" spans="1:15" x14ac:dyDescent="0.3">
      <c r="J6" s="106" t="s">
        <v>38</v>
      </c>
      <c r="N6" s="106">
        <f>SUM(N3:N5)</f>
        <v>122.666</v>
      </c>
      <c r="O6" s="106">
        <f>66.66/60</f>
        <v>1.111</v>
      </c>
    </row>
    <row r="7" spans="1:15" x14ac:dyDescent="0.3">
      <c r="A7" s="106" t="s">
        <v>5</v>
      </c>
      <c r="E7" s="106">
        <v>6</v>
      </c>
      <c r="N7" s="106">
        <f>1.11*O6</f>
        <v>1.2332100000000001</v>
      </c>
    </row>
    <row r="9" spans="1:15" x14ac:dyDescent="0.3">
      <c r="A9" s="106" t="s">
        <v>6</v>
      </c>
      <c r="B9" s="106" t="s">
        <v>129</v>
      </c>
      <c r="D9" s="110">
        <f>YEAR(E3)</f>
        <v>2016</v>
      </c>
      <c r="E9" s="106">
        <v>2</v>
      </c>
      <c r="I9" s="106" t="s">
        <v>50</v>
      </c>
    </row>
    <row r="10" spans="1:15" x14ac:dyDescent="0.3">
      <c r="C10" s="106">
        <v>1</v>
      </c>
      <c r="D10" s="106">
        <f>IF($E$7&gt;C10,D9-1,"")</f>
        <v>2015</v>
      </c>
      <c r="E10" s="106">
        <v>3</v>
      </c>
      <c r="I10" s="106" t="s">
        <v>51</v>
      </c>
    </row>
    <row r="11" spans="1:15" x14ac:dyDescent="0.3">
      <c r="C11" s="106">
        <v>2</v>
      </c>
      <c r="D11" s="106">
        <f t="shared" ref="D11:D18" si="0">IF($E$7&gt;C11,D10-1,"")</f>
        <v>2014</v>
      </c>
      <c r="E11" s="106">
        <v>4</v>
      </c>
      <c r="I11" s="106" t="s">
        <v>52</v>
      </c>
    </row>
    <row r="12" spans="1:15" x14ac:dyDescent="0.3">
      <c r="C12" s="106">
        <v>3</v>
      </c>
      <c r="D12" s="106">
        <f t="shared" si="0"/>
        <v>2013</v>
      </c>
      <c r="E12" s="106">
        <v>3</v>
      </c>
      <c r="I12" s="106" t="s">
        <v>53</v>
      </c>
    </row>
    <row r="13" spans="1:15" x14ac:dyDescent="0.3">
      <c r="C13" s="106">
        <v>4</v>
      </c>
      <c r="D13" s="106">
        <f t="shared" si="0"/>
        <v>2012</v>
      </c>
      <c r="E13" s="106">
        <v>3</v>
      </c>
      <c r="I13" s="106" t="s">
        <v>54</v>
      </c>
    </row>
    <row r="14" spans="1:15" x14ac:dyDescent="0.3">
      <c r="C14" s="106">
        <v>5</v>
      </c>
      <c r="D14" s="106">
        <f t="shared" si="0"/>
        <v>2011</v>
      </c>
      <c r="E14" s="106">
        <v>3</v>
      </c>
      <c r="I14" s="106">
        <v>5</v>
      </c>
    </row>
    <row r="15" spans="1:15" x14ac:dyDescent="0.3">
      <c r="C15" s="106">
        <v>6</v>
      </c>
      <c r="D15" s="106" t="str">
        <f t="shared" si="0"/>
        <v/>
      </c>
      <c r="I15" s="106">
        <v>4</v>
      </c>
    </row>
    <row r="16" spans="1:15" x14ac:dyDescent="0.3">
      <c r="C16" s="106">
        <v>7</v>
      </c>
      <c r="D16" s="106" t="str">
        <f t="shared" si="0"/>
        <v/>
      </c>
      <c r="I16" s="106">
        <v>3</v>
      </c>
    </row>
    <row r="17" spans="1:22" x14ac:dyDescent="0.3">
      <c r="C17" s="106">
        <v>8</v>
      </c>
      <c r="D17" s="106" t="str">
        <f t="shared" si="0"/>
        <v/>
      </c>
      <c r="I17" s="106">
        <v>2</v>
      </c>
    </row>
    <row r="18" spans="1:22" x14ac:dyDescent="0.3">
      <c r="C18" s="106">
        <v>9</v>
      </c>
      <c r="D18" s="106" t="str">
        <f t="shared" si="0"/>
        <v/>
      </c>
      <c r="I18" s="106">
        <v>1</v>
      </c>
    </row>
    <row r="19" spans="1:22" x14ac:dyDescent="0.3">
      <c r="E19" s="106" t="s">
        <v>8</v>
      </c>
      <c r="F19" s="106">
        <f>SUM(E9:E18)/E7</f>
        <v>3</v>
      </c>
      <c r="T19" s="106" t="s">
        <v>138</v>
      </c>
    </row>
    <row r="22" spans="1:22" x14ac:dyDescent="0.3">
      <c r="M22" s="111">
        <v>44136</v>
      </c>
      <c r="T22" s="106" t="s">
        <v>139</v>
      </c>
    </row>
    <row r="23" spans="1:22" ht="15" thickBot="1" x14ac:dyDescent="0.35">
      <c r="C23" s="112" t="str">
        <f xml:space="preserve"> IF(E7&lt;=2,"vous êtes en accueil de votre poste",IF(E7&lt;=5,IF(F19&gt;=3,"vous êtes en maîtrise de votre poste","vous n'avez pas une note justifiant de la maîtrise du poste"),IF(F19&gt;=3,"vous êtes un expert dans votre poste demander à être reconnu EDISON","vous n'avez pas une note justifiant de la maîtrise du poste")))</f>
        <v>vous êtes un expert dans votre poste demander à être reconnu EDISON</v>
      </c>
      <c r="J23" s="106" t="s">
        <v>12</v>
      </c>
    </row>
    <row r="24" spans="1:22" x14ac:dyDescent="0.3">
      <c r="I24" s="106" t="s">
        <v>11</v>
      </c>
      <c r="J24" s="106" t="s">
        <v>13</v>
      </c>
      <c r="K24" s="106" t="s">
        <v>15</v>
      </c>
      <c r="L24" s="106" t="s">
        <v>16</v>
      </c>
      <c r="M24" s="113" t="s">
        <v>116</v>
      </c>
      <c r="N24" s="114" t="s">
        <v>134</v>
      </c>
      <c r="O24" s="115" t="s">
        <v>142</v>
      </c>
      <c r="T24" s="113" t="s">
        <v>116</v>
      </c>
      <c r="U24" s="116" t="s">
        <v>134</v>
      </c>
      <c r="V24" s="117" t="s">
        <v>17</v>
      </c>
    </row>
    <row r="25" spans="1:22" x14ac:dyDescent="0.3">
      <c r="A25" s="106" t="s">
        <v>9</v>
      </c>
      <c r="B25" s="106" t="s">
        <v>10</v>
      </c>
      <c r="E25" s="106">
        <v>255</v>
      </c>
      <c r="G25" s="106">
        <v>6</v>
      </c>
      <c r="H25" s="106">
        <v>155</v>
      </c>
      <c r="I25" s="106">
        <v>6</v>
      </c>
      <c r="J25" s="106" t="s">
        <v>11</v>
      </c>
      <c r="K25" s="106">
        <v>18.8</v>
      </c>
      <c r="L25" s="106">
        <v>28.5</v>
      </c>
      <c r="M25" s="118">
        <v>6</v>
      </c>
      <c r="N25" s="108">
        <v>24</v>
      </c>
      <c r="O25" s="108" t="s">
        <v>158</v>
      </c>
      <c r="T25" s="118">
        <v>6</v>
      </c>
      <c r="U25" s="119">
        <v>22</v>
      </c>
      <c r="V25" s="120">
        <v>23</v>
      </c>
    </row>
    <row r="26" spans="1:22" x14ac:dyDescent="0.3">
      <c r="G26" s="106">
        <v>7</v>
      </c>
      <c r="H26" s="106">
        <v>170</v>
      </c>
      <c r="I26" s="106">
        <v>7</v>
      </c>
      <c r="J26" s="106" t="s">
        <v>14</v>
      </c>
      <c r="K26" s="106">
        <v>18.8</v>
      </c>
      <c r="L26" s="106">
        <v>29.5</v>
      </c>
      <c r="M26" s="118">
        <v>7</v>
      </c>
      <c r="N26" s="108">
        <v>25</v>
      </c>
      <c r="O26" s="108"/>
      <c r="T26" s="118">
        <v>7</v>
      </c>
      <c r="U26" s="119">
        <v>23</v>
      </c>
      <c r="V26" s="121">
        <v>23.5</v>
      </c>
    </row>
    <row r="27" spans="1:22" x14ac:dyDescent="0.3">
      <c r="G27" s="106">
        <v>8</v>
      </c>
      <c r="H27" s="106">
        <v>180</v>
      </c>
      <c r="I27" s="106">
        <v>8</v>
      </c>
      <c r="K27" s="106">
        <v>19.100000000000001</v>
      </c>
      <c r="L27" s="106">
        <v>30.4</v>
      </c>
      <c r="M27" s="118">
        <v>8</v>
      </c>
      <c r="N27" s="108">
        <v>25.5</v>
      </c>
      <c r="O27" s="122">
        <v>24.3</v>
      </c>
      <c r="T27" s="118">
        <v>8</v>
      </c>
      <c r="U27" s="119">
        <v>24</v>
      </c>
      <c r="V27" s="120">
        <v>24.5</v>
      </c>
    </row>
    <row r="28" spans="1:22" x14ac:dyDescent="0.3">
      <c r="B28" s="106" t="s">
        <v>23</v>
      </c>
      <c r="E28" s="106">
        <v>8</v>
      </c>
      <c r="G28" s="106">
        <v>9</v>
      </c>
      <c r="H28" s="106">
        <v>190</v>
      </c>
      <c r="I28" s="106">
        <v>9</v>
      </c>
      <c r="K28" s="106">
        <v>19.7</v>
      </c>
      <c r="L28" s="106">
        <v>32.1</v>
      </c>
      <c r="M28" s="118">
        <v>9</v>
      </c>
      <c r="N28" s="108">
        <v>26.5</v>
      </c>
      <c r="O28" s="122">
        <v>25.7</v>
      </c>
      <c r="T28" s="118">
        <v>9</v>
      </c>
      <c r="U28" s="119">
        <v>25</v>
      </c>
      <c r="V28" s="120">
        <v>25.5</v>
      </c>
    </row>
    <row r="29" spans="1:22" x14ac:dyDescent="0.3">
      <c r="G29" s="106">
        <v>10</v>
      </c>
      <c r="H29" s="106">
        <v>225</v>
      </c>
      <c r="I29" s="106">
        <v>10</v>
      </c>
      <c r="K29" s="106">
        <v>20.6</v>
      </c>
      <c r="L29" s="106">
        <v>34.299999999999997</v>
      </c>
      <c r="M29" s="118">
        <v>10</v>
      </c>
      <c r="N29" s="108">
        <v>28.5</v>
      </c>
      <c r="O29" s="122">
        <v>27</v>
      </c>
      <c r="T29" s="118">
        <v>10</v>
      </c>
      <c r="U29" s="119">
        <v>26.5</v>
      </c>
      <c r="V29" s="120">
        <v>26.5</v>
      </c>
    </row>
    <row r="30" spans="1:22" x14ac:dyDescent="0.3">
      <c r="B30" s="106" t="s">
        <v>24</v>
      </c>
      <c r="G30" s="106">
        <v>11</v>
      </c>
      <c r="H30" s="106">
        <v>240</v>
      </c>
      <c r="I30" s="106">
        <v>11</v>
      </c>
      <c r="K30" s="106">
        <v>22.9</v>
      </c>
      <c r="L30" s="106">
        <v>36.299999999999997</v>
      </c>
      <c r="M30" s="118">
        <v>11</v>
      </c>
      <c r="N30" s="108">
        <v>30</v>
      </c>
      <c r="O30" s="122">
        <v>28.5</v>
      </c>
      <c r="T30" s="118">
        <v>11</v>
      </c>
      <c r="U30" s="119">
        <v>28</v>
      </c>
      <c r="V30" s="120">
        <v>28</v>
      </c>
    </row>
    <row r="31" spans="1:22" x14ac:dyDescent="0.3">
      <c r="E31" s="112" t="str">
        <f>IF(E28&gt;=6,IF(E30&gt;=4,"ATTENTION vous avez rempli un grade et un groupe de poste",""),"")</f>
        <v/>
      </c>
      <c r="G31" s="106">
        <v>12</v>
      </c>
      <c r="H31" s="106">
        <v>255</v>
      </c>
      <c r="I31" s="106">
        <v>12</v>
      </c>
      <c r="K31" s="106">
        <v>23.9</v>
      </c>
      <c r="L31" s="106">
        <v>38.1</v>
      </c>
      <c r="M31" s="118">
        <v>12</v>
      </c>
      <c r="N31" s="108">
        <v>32</v>
      </c>
      <c r="O31" s="122">
        <v>30.4</v>
      </c>
      <c r="T31" s="118">
        <v>12</v>
      </c>
      <c r="U31" s="119">
        <v>29</v>
      </c>
      <c r="V31" s="120">
        <v>29.5</v>
      </c>
    </row>
    <row r="32" spans="1:22" x14ac:dyDescent="0.3">
      <c r="G32" s="106">
        <v>13</v>
      </c>
      <c r="H32" s="106">
        <v>270</v>
      </c>
      <c r="I32" s="106">
        <v>13</v>
      </c>
      <c r="K32" s="106">
        <v>24.9</v>
      </c>
      <c r="L32" s="106">
        <v>40.1</v>
      </c>
      <c r="M32" s="118">
        <v>13</v>
      </c>
      <c r="N32" s="108">
        <v>33.5</v>
      </c>
      <c r="O32" s="122">
        <v>32</v>
      </c>
      <c r="T32" s="118">
        <v>13</v>
      </c>
      <c r="U32" s="119">
        <v>31</v>
      </c>
      <c r="V32" s="120">
        <v>32</v>
      </c>
    </row>
    <row r="33" spans="2:22" x14ac:dyDescent="0.3">
      <c r="B33" s="112" t="str">
        <f xml:space="preserve"> IF(E7&lt;=2,"vous êtes en accueil de votre poste",IF(E7&lt;=5,IF(F19&gt;=3,"vous êtes en maîtrise de votre poste","vous n'avez pas une note justifiant de la maîtrise du poste"),IF(F19&gt;=3,"vous êtes un expert dans votre poste demander à être reconnu EDISON","vous n'avez pas une note justifiant de la maîtrise du poste")))</f>
        <v>vous êtes un expert dans votre poste demander à être reconnu EDISON</v>
      </c>
      <c r="G33" s="106">
        <v>14</v>
      </c>
      <c r="H33" s="106">
        <v>285</v>
      </c>
      <c r="I33" s="106">
        <v>14</v>
      </c>
      <c r="K33" s="106">
        <v>25.9</v>
      </c>
      <c r="L33" s="106">
        <v>42.4</v>
      </c>
      <c r="M33" s="118">
        <v>14</v>
      </c>
      <c r="N33" s="108">
        <v>35</v>
      </c>
      <c r="O33" s="122">
        <v>34.799999999999997</v>
      </c>
      <c r="T33" s="118">
        <v>14</v>
      </c>
      <c r="U33" s="119">
        <v>33</v>
      </c>
      <c r="V33" s="120">
        <v>34</v>
      </c>
    </row>
    <row r="34" spans="2:22" x14ac:dyDescent="0.3">
      <c r="G34" s="106">
        <v>15</v>
      </c>
      <c r="H34" s="106">
        <v>305</v>
      </c>
      <c r="I34" s="106">
        <v>15</v>
      </c>
      <c r="K34" s="106">
        <v>27.7</v>
      </c>
      <c r="L34" s="106">
        <v>46.1</v>
      </c>
      <c r="M34" s="118">
        <v>15</v>
      </c>
      <c r="N34" s="108">
        <v>38</v>
      </c>
      <c r="O34" s="122">
        <v>38.5</v>
      </c>
      <c r="T34" s="118">
        <v>15</v>
      </c>
      <c r="U34" s="119">
        <v>35</v>
      </c>
      <c r="V34" s="120">
        <v>37.5</v>
      </c>
    </row>
    <row r="35" spans="2:22" x14ac:dyDescent="0.3">
      <c r="B35" s="106" t="s">
        <v>25</v>
      </c>
      <c r="D35" s="106">
        <f>IF(E28&gt;=6,VLOOKUP(E28,G25:H37,2,FALSE),VLOOKUP(E30,G38:H42,2,TRUE))</f>
        <v>180</v>
      </c>
      <c r="G35" s="106">
        <v>16</v>
      </c>
      <c r="H35" s="106">
        <v>335</v>
      </c>
      <c r="I35" s="106">
        <v>16</v>
      </c>
      <c r="K35" s="106">
        <v>30.1</v>
      </c>
      <c r="L35" s="106">
        <v>50.1</v>
      </c>
      <c r="M35" s="118">
        <v>16</v>
      </c>
      <c r="N35" s="108">
        <v>41</v>
      </c>
      <c r="O35" s="122">
        <v>41</v>
      </c>
      <c r="T35" s="118">
        <v>16</v>
      </c>
      <c r="U35" s="119">
        <v>38.5</v>
      </c>
      <c r="V35" s="120">
        <v>40</v>
      </c>
    </row>
    <row r="36" spans="2:22" x14ac:dyDescent="0.3">
      <c r="G36" s="106">
        <v>17</v>
      </c>
      <c r="H36" s="106">
        <v>365</v>
      </c>
      <c r="I36" s="106">
        <v>17</v>
      </c>
      <c r="K36" s="106">
        <v>33.4</v>
      </c>
      <c r="L36" s="106">
        <v>55.6</v>
      </c>
      <c r="M36" s="118">
        <v>17</v>
      </c>
      <c r="N36" s="108">
        <v>45.5</v>
      </c>
      <c r="O36" s="122">
        <v>47</v>
      </c>
      <c r="T36" s="118">
        <v>17</v>
      </c>
      <c r="U36" s="119">
        <v>42.5</v>
      </c>
      <c r="V36" s="120">
        <v>46</v>
      </c>
    </row>
    <row r="37" spans="2:22" x14ac:dyDescent="0.3">
      <c r="G37" s="106">
        <v>18</v>
      </c>
      <c r="H37" s="106">
        <v>395</v>
      </c>
      <c r="I37" s="106">
        <v>18</v>
      </c>
      <c r="K37" s="106">
        <v>37.6</v>
      </c>
      <c r="L37" s="106">
        <v>62.6</v>
      </c>
      <c r="M37" s="118">
        <v>18</v>
      </c>
      <c r="N37" s="108">
        <v>52</v>
      </c>
      <c r="O37" s="122">
        <v>52.5</v>
      </c>
      <c r="T37" s="118">
        <v>18</v>
      </c>
      <c r="U37" s="119">
        <v>49.5</v>
      </c>
      <c r="V37" s="120">
        <v>51</v>
      </c>
    </row>
    <row r="38" spans="2:22" x14ac:dyDescent="0.3">
      <c r="H38" s="106" t="s">
        <v>18</v>
      </c>
      <c r="N38" s="108"/>
      <c r="O38" s="123"/>
    </row>
    <row r="39" spans="2:22" x14ac:dyDescent="0.3">
      <c r="G39" s="106">
        <v>5</v>
      </c>
      <c r="H39" s="106" t="s">
        <v>19</v>
      </c>
      <c r="N39" s="108"/>
      <c r="O39" s="123"/>
      <c r="P39" s="124"/>
      <c r="Q39" s="124"/>
      <c r="S39" s="124"/>
    </row>
    <row r="40" spans="2:22" x14ac:dyDescent="0.3">
      <c r="B40" s="106" t="s">
        <v>28</v>
      </c>
      <c r="E40" s="106">
        <v>2000</v>
      </c>
      <c r="G40" s="106">
        <v>7</v>
      </c>
      <c r="H40" s="106" t="s">
        <v>20</v>
      </c>
      <c r="I40" s="106">
        <v>7</v>
      </c>
      <c r="K40" s="106">
        <v>32.299999999999997</v>
      </c>
      <c r="L40" s="106">
        <v>53.8</v>
      </c>
      <c r="M40" s="118">
        <v>4</v>
      </c>
      <c r="N40" s="124">
        <v>43.5</v>
      </c>
      <c r="O40" s="120">
        <v>45</v>
      </c>
      <c r="P40" s="124"/>
      <c r="Q40" s="124"/>
      <c r="S40" s="124"/>
      <c r="T40" s="118">
        <v>4</v>
      </c>
      <c r="U40" s="119">
        <v>42</v>
      </c>
      <c r="V40" s="120">
        <v>45</v>
      </c>
    </row>
    <row r="41" spans="2:22" x14ac:dyDescent="0.3">
      <c r="B41" s="125" t="s">
        <v>30</v>
      </c>
      <c r="G41" s="106">
        <v>9</v>
      </c>
      <c r="H41" s="106" t="s">
        <v>21</v>
      </c>
      <c r="I41" s="106">
        <v>9</v>
      </c>
      <c r="K41" s="106">
        <v>36.4</v>
      </c>
      <c r="L41" s="106">
        <v>60.6</v>
      </c>
      <c r="M41" s="118">
        <v>5</v>
      </c>
      <c r="N41" s="124">
        <v>49</v>
      </c>
      <c r="O41" s="120">
        <v>47.9</v>
      </c>
      <c r="P41" s="124"/>
      <c r="Q41" s="124"/>
      <c r="S41" s="124"/>
      <c r="T41" s="118">
        <v>5</v>
      </c>
      <c r="U41" s="119">
        <v>48</v>
      </c>
      <c r="V41" s="120">
        <v>49</v>
      </c>
    </row>
    <row r="42" spans="2:22" x14ac:dyDescent="0.3">
      <c r="B42" s="106" t="s">
        <v>29</v>
      </c>
      <c r="E42" s="126">
        <v>0.1</v>
      </c>
      <c r="G42" s="106">
        <v>10</v>
      </c>
      <c r="H42" s="106" t="s">
        <v>22</v>
      </c>
      <c r="I42" s="106">
        <v>10</v>
      </c>
      <c r="K42" s="106">
        <v>41.9</v>
      </c>
      <c r="L42" s="106">
        <v>69.8</v>
      </c>
      <c r="M42" s="118">
        <v>6</v>
      </c>
      <c r="N42" s="124">
        <v>57</v>
      </c>
      <c r="O42" s="120">
        <v>54.8</v>
      </c>
      <c r="P42" s="124"/>
      <c r="Q42" s="124"/>
      <c r="S42" s="124"/>
      <c r="T42" s="118">
        <v>6</v>
      </c>
      <c r="U42" s="119">
        <v>54</v>
      </c>
      <c r="V42" s="120">
        <v>54</v>
      </c>
    </row>
    <row r="43" spans="2:22" x14ac:dyDescent="0.3">
      <c r="K43" s="106">
        <v>49.2</v>
      </c>
      <c r="L43" s="106">
        <v>82</v>
      </c>
      <c r="M43" s="118">
        <v>7</v>
      </c>
      <c r="N43" s="124">
        <v>67</v>
      </c>
      <c r="O43" s="120">
        <v>64.5</v>
      </c>
      <c r="P43" s="124"/>
      <c r="Q43" s="124"/>
      <c r="S43" s="124"/>
      <c r="T43" s="118">
        <v>7</v>
      </c>
      <c r="U43" s="119">
        <v>64</v>
      </c>
      <c r="V43" s="120">
        <v>62</v>
      </c>
    </row>
    <row r="44" spans="2:22" x14ac:dyDescent="0.3">
      <c r="B44" s="127" t="s">
        <v>31</v>
      </c>
      <c r="E44" s="106">
        <f>(E40*12*(1+E42))/1000</f>
        <v>26.400000000000002</v>
      </c>
      <c r="F44" s="106" t="s">
        <v>32</v>
      </c>
      <c r="K44" s="106">
        <v>59.7</v>
      </c>
      <c r="L44" s="106">
        <v>99.5</v>
      </c>
      <c r="M44" s="118">
        <v>8</v>
      </c>
      <c r="N44" s="124">
        <v>81</v>
      </c>
      <c r="O44" s="120">
        <v>75</v>
      </c>
      <c r="P44" s="124"/>
      <c r="Q44" s="124"/>
      <c r="S44" s="124"/>
      <c r="T44" s="118">
        <v>8</v>
      </c>
      <c r="U44" s="119">
        <v>76.5</v>
      </c>
      <c r="V44" s="120">
        <v>73</v>
      </c>
    </row>
    <row r="45" spans="2:22" x14ac:dyDescent="0.3">
      <c r="K45" s="106">
        <v>74.900000000000006</v>
      </c>
      <c r="L45" s="106">
        <v>124.8</v>
      </c>
      <c r="M45" s="118">
        <v>9</v>
      </c>
      <c r="N45" s="124">
        <v>101</v>
      </c>
      <c r="O45" s="120">
        <v>94</v>
      </c>
      <c r="P45" s="124"/>
      <c r="Q45" s="124"/>
      <c r="S45" s="124"/>
      <c r="T45" s="118">
        <v>9</v>
      </c>
      <c r="U45" s="119">
        <v>96.5</v>
      </c>
      <c r="V45" s="120">
        <v>91</v>
      </c>
    </row>
    <row r="46" spans="2:22" x14ac:dyDescent="0.3">
      <c r="K46" s="106">
        <v>96.8</v>
      </c>
      <c r="L46" s="106">
        <v>161.30000000000001</v>
      </c>
      <c r="M46" s="118">
        <v>10</v>
      </c>
      <c r="N46" s="124">
        <v>130</v>
      </c>
      <c r="O46" s="120">
        <v>124</v>
      </c>
      <c r="T46" s="118">
        <v>10</v>
      </c>
      <c r="U46" s="119">
        <v>124.5</v>
      </c>
      <c r="V46" s="120">
        <v>117</v>
      </c>
    </row>
    <row r="47" spans="2:22" x14ac:dyDescent="0.3">
      <c r="B47" s="106" t="s">
        <v>35</v>
      </c>
      <c r="E47" s="106">
        <f>IF(E28&gt;=6,VLOOKUP(E28,M25:N37,2,FALSE),VLOOKUP(E30,M40:N49,2,FALSE))</f>
        <v>25.5</v>
      </c>
      <c r="F47" s="106" t="s">
        <v>32</v>
      </c>
      <c r="M47" s="118">
        <v>11</v>
      </c>
      <c r="N47" s="128"/>
      <c r="O47" s="123"/>
    </row>
    <row r="48" spans="2:22" x14ac:dyDescent="0.3">
      <c r="M48" s="118">
        <v>12</v>
      </c>
      <c r="N48" s="128"/>
      <c r="O48" s="123"/>
    </row>
    <row r="49" spans="2:23" ht="15" thickBot="1" x14ac:dyDescent="0.35">
      <c r="B49" s="106" t="s">
        <v>33</v>
      </c>
      <c r="E49" s="129">
        <f>-(E47-E44)/E47</f>
        <v>3.5294117647058906E-2</v>
      </c>
      <c r="M49" s="130">
        <v>13</v>
      </c>
      <c r="N49" s="131"/>
      <c r="O49" s="132"/>
    </row>
    <row r="50" spans="2:23" x14ac:dyDescent="0.3">
      <c r="B50" s="106" t="s">
        <v>44</v>
      </c>
      <c r="E50" s="133">
        <f>1+E49</f>
        <v>1.0352941176470589</v>
      </c>
    </row>
    <row r="52" spans="2:23" x14ac:dyDescent="0.3">
      <c r="B52" s="106" t="s">
        <v>36</v>
      </c>
      <c r="E52" s="106">
        <f>IF(E28&gt;=6,VLOOKUP(E28,M25:O37,3,FALSE),VLOOKUP(E30,M40:O49,3,FALSE))</f>
        <v>24.3</v>
      </c>
      <c r="F52" s="106" t="s">
        <v>32</v>
      </c>
    </row>
    <row r="53" spans="2:23" x14ac:dyDescent="0.3">
      <c r="B53" s="112"/>
    </row>
    <row r="54" spans="2:23" x14ac:dyDescent="0.3">
      <c r="B54" s="106" t="s">
        <v>34</v>
      </c>
      <c r="E54" s="129">
        <f>-(E52-E44)/E52</f>
        <v>8.6419753086419804E-2</v>
      </c>
      <c r="I54" s="112" t="s">
        <v>155</v>
      </c>
    </row>
    <row r="56" spans="2:23" x14ac:dyDescent="0.3">
      <c r="I56" s="106" t="s">
        <v>117</v>
      </c>
      <c r="R56" s="106" t="s">
        <v>140</v>
      </c>
      <c r="V56" s="106" t="s">
        <v>126</v>
      </c>
    </row>
    <row r="57" spans="2:23" x14ac:dyDescent="0.3">
      <c r="J57" s="108" t="s">
        <v>37</v>
      </c>
      <c r="K57" s="108" t="s">
        <v>4</v>
      </c>
      <c r="L57" s="106" t="s">
        <v>141</v>
      </c>
      <c r="R57" s="106" t="s">
        <v>37</v>
      </c>
      <c r="S57" s="106" t="s">
        <v>4</v>
      </c>
      <c r="V57" s="106" t="s">
        <v>37</v>
      </c>
      <c r="W57" s="106" t="s">
        <v>4</v>
      </c>
    </row>
    <row r="58" spans="2:23" x14ac:dyDescent="0.3">
      <c r="B58" s="106" t="s">
        <v>39</v>
      </c>
      <c r="I58" s="106">
        <v>155</v>
      </c>
      <c r="J58" s="108">
        <v>1945</v>
      </c>
      <c r="K58" s="108"/>
      <c r="L58" s="106">
        <v>17</v>
      </c>
      <c r="R58" s="106">
        <v>1875</v>
      </c>
      <c r="V58" s="106">
        <v>1909</v>
      </c>
    </row>
    <row r="59" spans="2:23" x14ac:dyDescent="0.3">
      <c r="I59" s="106">
        <v>170</v>
      </c>
      <c r="J59" s="108"/>
      <c r="K59" s="108"/>
      <c r="M59" s="106">
        <v>2</v>
      </c>
    </row>
    <row r="60" spans="2:23" x14ac:dyDescent="0.3">
      <c r="B60" s="106" t="s">
        <v>42</v>
      </c>
      <c r="E60" s="106">
        <f>IF(E4="Ouvrier",VLOOKUP(E25,I58:K76,2,FALSE),(IF(E4="ATAM",VLOOKUP(E25,I58:K76,3,FALSE),(IF(E4="IC",VLOOKUP(E25,I58:K76,2,FALSE),FALSE)))))</f>
        <v>2627</v>
      </c>
      <c r="I60" s="106">
        <v>180</v>
      </c>
      <c r="J60" s="108">
        <v>1998</v>
      </c>
      <c r="K60" s="108"/>
      <c r="L60" s="106">
        <v>427</v>
      </c>
      <c r="M60" s="106">
        <v>1</v>
      </c>
      <c r="R60" s="106">
        <v>1951</v>
      </c>
      <c r="V60" s="106">
        <v>1935</v>
      </c>
    </row>
    <row r="61" spans="2:23" x14ac:dyDescent="0.3">
      <c r="B61" s="106" t="s">
        <v>41</v>
      </c>
      <c r="E61" s="129">
        <f>IF(E4="IC",VLOOKUP(E25,I58:K76,3,),0)</f>
        <v>0</v>
      </c>
      <c r="I61" s="106">
        <v>190</v>
      </c>
      <c r="J61" s="108">
        <v>2180</v>
      </c>
      <c r="K61" s="134">
        <v>2325</v>
      </c>
      <c r="L61" s="106">
        <v>474</v>
      </c>
      <c r="M61" s="106">
        <v>7</v>
      </c>
      <c r="R61" s="106">
        <v>2091</v>
      </c>
      <c r="S61" s="135">
        <v>2322</v>
      </c>
      <c r="V61" s="106">
        <v>2071</v>
      </c>
      <c r="W61" s="106">
        <v>2239</v>
      </c>
    </row>
    <row r="62" spans="2:23" x14ac:dyDescent="0.3">
      <c r="B62" s="106" t="s">
        <v>43</v>
      </c>
      <c r="E62" s="136">
        <f>E60*12*(1+E61)/1000</f>
        <v>31.524000000000001</v>
      </c>
      <c r="F62" s="106" t="s">
        <v>32</v>
      </c>
      <c r="J62" s="108"/>
      <c r="K62" s="108"/>
    </row>
    <row r="63" spans="2:23" x14ac:dyDescent="0.3">
      <c r="B63" s="106" t="s">
        <v>40</v>
      </c>
      <c r="I63" s="106">
        <v>225</v>
      </c>
      <c r="J63" s="137">
        <v>2271</v>
      </c>
      <c r="K63" s="134">
        <v>2442</v>
      </c>
      <c r="L63" s="106">
        <v>487</v>
      </c>
      <c r="M63" s="106">
        <v>17</v>
      </c>
      <c r="R63" s="138">
        <v>2195</v>
      </c>
      <c r="S63" s="135">
        <v>2320</v>
      </c>
      <c r="V63" s="106">
        <v>2183</v>
      </c>
      <c r="W63" s="106">
        <v>2249</v>
      </c>
    </row>
    <row r="64" spans="2:23" x14ac:dyDescent="0.3">
      <c r="E64" s="139">
        <f>E44/E62-1</f>
        <v>-0.1625428245146554</v>
      </c>
      <c r="I64" s="106">
        <v>240</v>
      </c>
      <c r="J64" s="137">
        <v>2449</v>
      </c>
      <c r="K64" s="134">
        <v>2597</v>
      </c>
      <c r="L64" s="106">
        <v>274</v>
      </c>
      <c r="M64" s="106">
        <v>35</v>
      </c>
      <c r="R64" s="138">
        <v>2306.5990035587188</v>
      </c>
      <c r="S64" s="135">
        <v>2378.8536111111107</v>
      </c>
      <c r="V64" s="106">
        <v>2293</v>
      </c>
      <c r="W64" s="106">
        <v>2404</v>
      </c>
    </row>
    <row r="65" spans="9:23" x14ac:dyDescent="0.3">
      <c r="I65" s="106">
        <v>255</v>
      </c>
      <c r="J65" s="137">
        <v>2576</v>
      </c>
      <c r="K65" s="134">
        <v>2627</v>
      </c>
      <c r="L65" s="106">
        <v>138</v>
      </c>
      <c r="M65" s="106">
        <v>89</v>
      </c>
      <c r="R65" s="138">
        <v>2455.7666666666673</v>
      </c>
      <c r="S65" s="135">
        <v>2570.8583168316832</v>
      </c>
      <c r="V65" s="106">
        <v>2421</v>
      </c>
      <c r="W65" s="106">
        <v>2526</v>
      </c>
    </row>
    <row r="66" spans="9:23" x14ac:dyDescent="0.3">
      <c r="I66" s="106">
        <v>270</v>
      </c>
      <c r="J66" s="137">
        <v>2635</v>
      </c>
      <c r="K66" s="134">
        <v>2722</v>
      </c>
      <c r="L66" s="106">
        <v>70</v>
      </c>
      <c r="M66" s="106">
        <v>211</v>
      </c>
      <c r="R66" s="138">
        <v>2465.8578571428575</v>
      </c>
      <c r="S66" s="135">
        <v>2667.9648728813572</v>
      </c>
      <c r="V66" s="106">
        <v>2449</v>
      </c>
      <c r="W66" s="140">
        <v>2653</v>
      </c>
    </row>
    <row r="67" spans="9:23" ht="15" thickBot="1" x14ac:dyDescent="0.35">
      <c r="I67" s="106">
        <v>285</v>
      </c>
      <c r="J67" s="141">
        <v>2718</v>
      </c>
      <c r="K67" s="134">
        <v>2891</v>
      </c>
      <c r="L67" s="106">
        <v>84</v>
      </c>
      <c r="M67" s="106">
        <v>654</v>
      </c>
      <c r="R67" s="142">
        <v>2579.764891304349</v>
      </c>
      <c r="S67" s="135">
        <v>2773.3101788375538</v>
      </c>
      <c r="V67" s="106">
        <v>2559</v>
      </c>
      <c r="W67" s="106">
        <v>2767</v>
      </c>
    </row>
    <row r="68" spans="9:23" x14ac:dyDescent="0.3">
      <c r="I68" s="106">
        <v>305</v>
      </c>
      <c r="J68" s="108"/>
      <c r="K68" s="134">
        <v>3186</v>
      </c>
      <c r="M68" s="106">
        <v>739</v>
      </c>
      <c r="S68" s="135">
        <v>3075.1499074074077</v>
      </c>
      <c r="W68" s="106">
        <v>3081</v>
      </c>
    </row>
    <row r="69" spans="9:23" x14ac:dyDescent="0.3">
      <c r="I69" s="106">
        <v>335</v>
      </c>
      <c r="J69" s="108"/>
      <c r="K69" s="134">
        <v>3548</v>
      </c>
      <c r="M69" s="106">
        <v>706</v>
      </c>
      <c r="S69" s="135">
        <v>3435.3222991689813</v>
      </c>
      <c r="W69" s="106">
        <v>3412</v>
      </c>
    </row>
    <row r="70" spans="9:23" x14ac:dyDescent="0.3">
      <c r="I70" s="106">
        <v>365</v>
      </c>
      <c r="J70" s="108"/>
      <c r="K70" s="134">
        <v>4017</v>
      </c>
      <c r="M70" s="106">
        <v>429</v>
      </c>
      <c r="S70" s="135">
        <v>3884.6698564593285</v>
      </c>
      <c r="W70" s="106">
        <v>3847</v>
      </c>
    </row>
    <row r="71" spans="9:23" ht="15" thickBot="1" x14ac:dyDescent="0.35">
      <c r="I71" s="106">
        <v>395</v>
      </c>
      <c r="J71" s="108"/>
      <c r="K71" s="143">
        <v>4366</v>
      </c>
      <c r="L71" s="106" t="s">
        <v>127</v>
      </c>
      <c r="M71" s="106">
        <v>94</v>
      </c>
      <c r="S71" s="144">
        <v>4258.2650649350635</v>
      </c>
      <c r="T71" s="106" t="s">
        <v>127</v>
      </c>
      <c r="W71" s="106">
        <v>4288</v>
      </c>
    </row>
    <row r="72" spans="9:23" x14ac:dyDescent="0.3">
      <c r="I72" s="106" t="s">
        <v>18</v>
      </c>
      <c r="J72" s="145">
        <v>3243</v>
      </c>
      <c r="K72" s="146">
        <v>5.5E-2</v>
      </c>
      <c r="L72" s="106">
        <v>204</v>
      </c>
      <c r="R72" s="147">
        <v>3192.7460576923086</v>
      </c>
      <c r="S72" s="148">
        <v>5.0999999999999997E-2</v>
      </c>
      <c r="T72" s="106">
        <v>130</v>
      </c>
      <c r="V72" s="106">
        <v>3100</v>
      </c>
      <c r="W72" s="149">
        <v>0.04</v>
      </c>
    </row>
    <row r="73" spans="9:23" x14ac:dyDescent="0.3">
      <c r="I73" s="106" t="s">
        <v>19</v>
      </c>
      <c r="J73" s="150">
        <v>4653</v>
      </c>
      <c r="K73" s="151">
        <v>0.1</v>
      </c>
      <c r="L73" s="106">
        <v>6055</v>
      </c>
      <c r="R73" s="152">
        <v>4358.1243976565374</v>
      </c>
      <c r="S73" s="153">
        <v>9.0999999999999998E-2</v>
      </c>
      <c r="T73" s="106">
        <v>2512</v>
      </c>
      <c r="V73" s="106">
        <v>4269</v>
      </c>
      <c r="W73" s="149">
        <v>8.2000000000000003E-2</v>
      </c>
    </row>
    <row r="74" spans="9:23" x14ac:dyDescent="0.3">
      <c r="I74" s="106" t="s">
        <v>20</v>
      </c>
      <c r="J74" s="150">
        <v>6273</v>
      </c>
      <c r="K74" s="151">
        <v>0.14699999999999999</v>
      </c>
      <c r="L74" s="106">
        <v>3689</v>
      </c>
      <c r="R74" s="152">
        <v>5839.8804073660704</v>
      </c>
      <c r="S74" s="153">
        <v>0.13500000000000001</v>
      </c>
      <c r="T74" s="106">
        <v>1757</v>
      </c>
      <c r="V74" s="106">
        <v>5626</v>
      </c>
      <c r="W74" s="149">
        <v>0.12</v>
      </c>
    </row>
    <row r="75" spans="9:23" x14ac:dyDescent="0.3">
      <c r="I75" s="106" t="s">
        <v>21</v>
      </c>
      <c r="J75" s="150">
        <v>8426</v>
      </c>
      <c r="K75" s="151">
        <v>0.20599999999999999</v>
      </c>
      <c r="L75" s="106">
        <v>1428</v>
      </c>
      <c r="R75" s="152">
        <v>7794.6525879397041</v>
      </c>
      <c r="S75" s="153">
        <v>0.19</v>
      </c>
      <c r="T75" s="106">
        <v>816</v>
      </c>
      <c r="V75" s="106">
        <v>7427</v>
      </c>
      <c r="W75" s="149">
        <v>0.17</v>
      </c>
    </row>
    <row r="76" spans="9:23" ht="15" thickBot="1" x14ac:dyDescent="0.35">
      <c r="I76" s="106" t="s">
        <v>22</v>
      </c>
      <c r="J76" s="154">
        <v>13039</v>
      </c>
      <c r="K76" s="155">
        <v>0.32800000000000001</v>
      </c>
      <c r="L76" s="106">
        <v>476</v>
      </c>
      <c r="R76" s="156">
        <v>12115.445090909085</v>
      </c>
      <c r="S76" s="157">
        <v>0.29899999999999999</v>
      </c>
      <c r="T76" s="106">
        <v>297</v>
      </c>
      <c r="V76" s="106">
        <v>11452</v>
      </c>
      <c r="W76" s="149">
        <v>0.27100000000000002</v>
      </c>
    </row>
    <row r="78" spans="9:23" x14ac:dyDescent="0.3">
      <c r="K78" s="106" t="s">
        <v>128</v>
      </c>
    </row>
  </sheetData>
  <sheetProtection algorithmName="SHA-512" hashValue="hClEKmfF492tYvrS6jrrJXLcW6qffuWfBdnDKlTRqYUDXSDQQEX/mdPfDS4HvvC/Pd5fzisH3XoXAY1aY6JPUQ==" saltValue="qICU3WAn8lIWIyLfNN2IzQ==" spinCount="100000" sheet="1" selectLockedCells="1"/>
  <conditionalFormatting sqref="E64">
    <cfRule type="cellIs" dxfId="3" priority="1" operator="lessThan">
      <formula>0</formula>
    </cfRule>
  </conditionalFormatting>
  <dataValidations count="8">
    <dataValidation type="list" allowBlank="1" showInputMessage="1" showErrorMessage="1" sqref="E30" xr:uid="{00000000-0002-0000-0100-000000000000}">
      <formula1>$M$40:$M$49</formula1>
    </dataValidation>
    <dataValidation type="list" allowBlank="1" showInputMessage="1" showErrorMessage="1" sqref="E28" xr:uid="{00000000-0002-0000-0100-000001000000}">
      <formula1>$I$25:$I$37</formula1>
    </dataValidation>
    <dataValidation type="list" allowBlank="1" showInputMessage="1" showErrorMessage="1" prompt="OATAM : notez votre coefficient entre 155 et 395,_x000a_Ingénieur et cadre notez votre classification entre 1 et 3A_x000a_Choisissez dans la liste déroulante" sqref="E25" xr:uid="{00000000-0002-0000-0100-000002000000}">
      <formula1>$H$25:$H$42</formula1>
    </dataValidation>
    <dataValidation type="whole" allowBlank="1" showInputMessage="1" showErrorMessage="1" sqref="E9:E18" xr:uid="{00000000-0002-0000-0100-000003000000}">
      <formula1>1</formula1>
      <formula2>5</formula2>
    </dataValidation>
    <dataValidation type="whole" allowBlank="1" showInputMessage="1" showErrorMessage="1" prompt="nombre d'évaluation" sqref="E7" xr:uid="{00000000-0002-0000-0100-000004000000}">
      <formula1>0</formula1>
      <formula2>40</formula2>
    </dataValidation>
    <dataValidation type="date" allowBlank="1" showInputMessage="1" showErrorMessage="1" prompt="entrer une date au format dd/mm/aaaa" sqref="E3" xr:uid="{00000000-0002-0000-0100-000005000000}">
      <formula1>42370</formula1>
      <formula2>47484</formula2>
    </dataValidation>
    <dataValidation type="list" allowBlank="1" showInputMessage="1" showErrorMessage="1" sqref="E4" xr:uid="{00000000-0002-0000-0100-000006000000}">
      <formula1>$J$4:$J$6</formula1>
    </dataValidation>
    <dataValidation type="whole" allowBlank="1" showInputMessage="1" showErrorMessage="1" prompt="entrer le groupe de poste entre 6 et 18 pour les OATAM et entre 4 et 10 pour les IC" sqref="E5" xr:uid="{00000000-0002-0000-0100-000007000000}">
      <formula1>4</formula1>
      <formula2>18</formula2>
    </dataValidation>
  </dataValidations>
  <pageMargins left="0.7" right="0.7" top="0.75" bottom="0.75" header="0.3" footer="0.3"/>
  <pageSetup orientation="portrait" r:id="rId1"/>
  <headerFooter>
    <oddFooter>&amp;C&amp;1#&amp;"Arial"&amp;6&amp;K626469Internal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CC"/>
    <pageSetUpPr fitToPage="1"/>
  </sheetPr>
  <dimension ref="B1:O56"/>
  <sheetViews>
    <sheetView showGridLines="0" zoomScaleNormal="100" workbookViewId="0">
      <selection activeCell="O15" sqref="O15"/>
    </sheetView>
  </sheetViews>
  <sheetFormatPr baseColWidth="10" defaultRowHeight="14.4" x14ac:dyDescent="0.3"/>
  <cols>
    <col min="1" max="1" width="3.5546875" customWidth="1"/>
    <col min="5" max="5" width="16.21875" customWidth="1"/>
    <col min="6" max="6" width="8.21875" customWidth="1"/>
    <col min="8" max="8" width="18" customWidth="1"/>
    <col min="9" max="9" width="5.44140625" customWidth="1"/>
    <col min="10" max="10" width="7.44140625" customWidth="1"/>
    <col min="11" max="11" width="13.44140625" customWidth="1"/>
    <col min="12" max="12" width="7.44140625" customWidth="1"/>
    <col min="13" max="13" width="3.21875" customWidth="1"/>
  </cols>
  <sheetData>
    <row r="1" spans="2:15" ht="11.25" customHeight="1" x14ac:dyDescent="0.3"/>
    <row r="2" spans="2:15" ht="21" x14ac:dyDescent="0.4">
      <c r="B2" s="168" t="s">
        <v>63</v>
      </c>
      <c r="C2" s="168"/>
      <c r="D2" s="168"/>
      <c r="E2" s="168"/>
      <c r="F2" s="168"/>
      <c r="G2" s="168"/>
      <c r="H2" s="168"/>
      <c r="I2" s="168"/>
      <c r="J2" s="168"/>
      <c r="K2" s="168"/>
      <c r="L2" s="168"/>
      <c r="M2" s="40"/>
      <c r="N2" s="40"/>
      <c r="O2" s="40"/>
    </row>
    <row r="3" spans="2:15" ht="17.399999999999999" x14ac:dyDescent="0.3">
      <c r="B3" s="5"/>
    </row>
    <row r="4" spans="2:15" ht="18" x14ac:dyDescent="0.35">
      <c r="B4" s="6" t="s">
        <v>73</v>
      </c>
      <c r="C4" s="29" t="str">
        <f>+calcul!E8</f>
        <v>MARTINS</v>
      </c>
      <c r="F4" s="22"/>
      <c r="G4" s="19" t="s">
        <v>115</v>
      </c>
      <c r="H4" s="29" t="str">
        <f>+calcul!E9</f>
        <v>Gilberte</v>
      </c>
    </row>
    <row r="5" spans="2:15" ht="8.25" customHeight="1" x14ac:dyDescent="0.3">
      <c r="B5" s="7"/>
    </row>
    <row r="6" spans="2:15" ht="15.6" x14ac:dyDescent="0.3">
      <c r="B6" s="6" t="s">
        <v>74</v>
      </c>
      <c r="G6" s="30" t="str">
        <f>+calcul!E10</f>
        <v>IAB2</v>
      </c>
    </row>
    <row r="7" spans="2:15" ht="9.75" customHeight="1" thickBot="1" x14ac:dyDescent="0.35">
      <c r="B7" s="7"/>
    </row>
    <row r="8" spans="2:15" ht="16.2" thickBot="1" x14ac:dyDescent="0.35">
      <c r="B8" s="6" t="s">
        <v>77</v>
      </c>
      <c r="J8" s="20" t="s">
        <v>76</v>
      </c>
      <c r="K8" s="32">
        <f>+calcul!E12</f>
        <v>10</v>
      </c>
    </row>
    <row r="9" spans="2:15" ht="10.5" customHeight="1" thickBot="1" x14ac:dyDescent="0.35">
      <c r="B9" s="7"/>
    </row>
    <row r="10" spans="2:15" ht="16.2" thickBot="1" x14ac:dyDescent="0.35">
      <c r="B10" s="6" t="s">
        <v>78</v>
      </c>
      <c r="J10" s="20" t="s">
        <v>75</v>
      </c>
      <c r="K10" s="32">
        <f>+calcul!E17</f>
        <v>7</v>
      </c>
      <c r="L10" s="22" t="s">
        <v>79</v>
      </c>
    </row>
    <row r="11" spans="2:15" ht="10.5" customHeight="1" thickBot="1" x14ac:dyDescent="0.35">
      <c r="B11" s="7"/>
      <c r="K11" s="31"/>
    </row>
    <row r="12" spans="2:15" ht="16.2" thickBot="1" x14ac:dyDescent="0.35">
      <c r="B12" s="6" t="s">
        <v>130</v>
      </c>
      <c r="J12" s="20" t="s">
        <v>131</v>
      </c>
      <c r="K12" s="165" t="str">
        <f>calcul!E19</f>
        <v>Non Performant</v>
      </c>
      <c r="L12" s="167"/>
    </row>
    <row r="13" spans="2:15" ht="15" thickBot="1" x14ac:dyDescent="0.35">
      <c r="B13" s="8" t="s">
        <v>64</v>
      </c>
    </row>
    <row r="14" spans="2:15" ht="16.2" thickBot="1" x14ac:dyDescent="0.35">
      <c r="B14" s="24" t="s">
        <v>80</v>
      </c>
      <c r="I14" s="23" t="s">
        <v>81</v>
      </c>
      <c r="J14" s="165" t="str">
        <f>+IF(calcul!D25="vous êtes en accueil de votre poste","Débutant",(IF(calcul!D25="vous semblez proche de la maîtrise de votre poste, sous réserve d'évaluations globalement positives sur la  durée d'occupation du poste","Maîtrise",IF(calcul!D25="vous ne semblez pas remplir tous les critères de maîtrise du poste","En cours","Expertise"))))</f>
        <v>En cours</v>
      </c>
      <c r="K14" s="166"/>
      <c r="L14" s="167"/>
    </row>
    <row r="15" spans="2:15" ht="53.25" customHeight="1" x14ac:dyDescent="0.3">
      <c r="B15" s="163" t="s">
        <v>133</v>
      </c>
      <c r="C15" s="163"/>
      <c r="D15" s="163"/>
      <c r="E15" s="163"/>
      <c r="F15" s="163"/>
      <c r="G15" s="163"/>
      <c r="H15" s="163"/>
      <c r="I15" s="163"/>
      <c r="J15" s="163"/>
      <c r="K15" s="163"/>
      <c r="L15" s="163"/>
    </row>
    <row r="16" spans="2:15" x14ac:dyDescent="0.3">
      <c r="B16" s="9" t="s">
        <v>65</v>
      </c>
    </row>
    <row r="17" spans="2:12" x14ac:dyDescent="0.3">
      <c r="B17" s="9" t="s">
        <v>66</v>
      </c>
    </row>
    <row r="18" spans="2:12" x14ac:dyDescent="0.3">
      <c r="B18" s="9" t="s">
        <v>67</v>
      </c>
    </row>
    <row r="19" spans="2:12" ht="27" customHeight="1" x14ac:dyDescent="0.3">
      <c r="B19" s="164" t="s">
        <v>132</v>
      </c>
      <c r="C19" s="164"/>
      <c r="D19" s="164"/>
      <c r="E19" s="164"/>
      <c r="F19" s="164"/>
      <c r="G19" s="164"/>
      <c r="H19" s="164"/>
      <c r="I19" s="164"/>
      <c r="J19" s="164"/>
      <c r="K19" s="164"/>
      <c r="L19" s="164"/>
    </row>
    <row r="20" spans="2:12" x14ac:dyDescent="0.3">
      <c r="B20" s="10"/>
    </row>
    <row r="21" spans="2:12" ht="18" x14ac:dyDescent="0.35">
      <c r="B21" s="11" t="s">
        <v>68</v>
      </c>
    </row>
    <row r="22" spans="2:12" ht="12" customHeight="1" thickBot="1" x14ac:dyDescent="0.35">
      <c r="B22" s="12"/>
    </row>
    <row r="23" spans="2:12" s="3" customFormat="1" ht="16.2" thickBot="1" x14ac:dyDescent="0.35">
      <c r="B23" s="17" t="s">
        <v>83</v>
      </c>
      <c r="J23" s="20" t="s">
        <v>82</v>
      </c>
      <c r="K23" s="32">
        <f>calcul!E13</f>
        <v>190</v>
      </c>
    </row>
    <row r="24" spans="2:12" ht="10.5" customHeight="1" thickBot="1" x14ac:dyDescent="0.35">
      <c r="B24" s="12"/>
    </row>
    <row r="25" spans="2:12" ht="16.2" thickBot="1" x14ac:dyDescent="0.35">
      <c r="B25" s="6" t="s">
        <v>69</v>
      </c>
      <c r="K25" s="32">
        <f>calcul!E27</f>
        <v>225</v>
      </c>
    </row>
    <row r="26" spans="2:12" ht="10.5" customHeight="1" thickBot="1" x14ac:dyDescent="0.35">
      <c r="B26" s="14"/>
    </row>
    <row r="27" spans="2:12" ht="16.2" thickBot="1" x14ac:dyDescent="0.35">
      <c r="B27" s="27" t="s">
        <v>84</v>
      </c>
      <c r="I27" s="20" t="s">
        <v>85</v>
      </c>
      <c r="J27" s="32" t="str">
        <f>(IF(calcul!G27="vous pouvez discuter du changement de votre niveau de qualification (promotion) avec votre hiérarchie et la fonction RH","X",""))</f>
        <v/>
      </c>
      <c r="K27" s="20" t="s">
        <v>86</v>
      </c>
      <c r="L27" s="32" t="str">
        <f>(IF(calcul!G27="vous pouvez discuter du changement de votre niveau de qualification (promotion) avec votre hiérarchie et la fonction RH","","X"))</f>
        <v>X</v>
      </c>
    </row>
    <row r="28" spans="2:12" ht="15.6" x14ac:dyDescent="0.3">
      <c r="B28" s="13"/>
    </row>
    <row r="29" spans="2:12" ht="18" x14ac:dyDescent="0.35">
      <c r="B29" s="11" t="s">
        <v>70</v>
      </c>
    </row>
    <row r="30" spans="2:12" ht="9.75" customHeight="1" thickBot="1" x14ac:dyDescent="0.35">
      <c r="B30" s="12"/>
    </row>
    <row r="31" spans="2:12" ht="16.2" thickBot="1" x14ac:dyDescent="0.35">
      <c r="B31" s="17" t="s">
        <v>87</v>
      </c>
      <c r="I31" s="22"/>
      <c r="J31" s="20" t="s">
        <v>89</v>
      </c>
      <c r="K31" s="32">
        <f>calcul!E14</f>
        <v>2000</v>
      </c>
      <c r="L31" s="28" t="s">
        <v>88</v>
      </c>
    </row>
    <row r="32" spans="2:12" ht="9.75" customHeight="1" thickBot="1" x14ac:dyDescent="0.35">
      <c r="B32" s="17"/>
      <c r="I32" s="22"/>
      <c r="J32" s="20"/>
      <c r="K32" s="33"/>
      <c r="L32" s="28"/>
    </row>
    <row r="33" spans="2:13" ht="16.2" thickBot="1" x14ac:dyDescent="0.35">
      <c r="B33" s="6" t="s">
        <v>93</v>
      </c>
      <c r="J33" s="20" t="s">
        <v>94</v>
      </c>
      <c r="K33" s="34">
        <f>calcul!E16</f>
        <v>0</v>
      </c>
      <c r="L33" s="28"/>
    </row>
    <row r="34" spans="2:13" ht="10.5" customHeight="1" thickBot="1" x14ac:dyDescent="0.35">
      <c r="B34" s="7"/>
      <c r="J34" s="20"/>
      <c r="K34" s="22"/>
      <c r="L34" s="28"/>
    </row>
    <row r="35" spans="2:13" ht="16.2" thickBot="1" x14ac:dyDescent="0.35">
      <c r="B35" s="27" t="s">
        <v>90</v>
      </c>
      <c r="J35" s="20" t="s">
        <v>91</v>
      </c>
      <c r="K35" s="32">
        <f>calcul!E29</f>
        <v>24</v>
      </c>
      <c r="L35" s="28" t="s">
        <v>92</v>
      </c>
      <c r="M35" s="21"/>
    </row>
    <row r="36" spans="2:13" ht="15.6" x14ac:dyDescent="0.3">
      <c r="B36" s="18" t="s">
        <v>71</v>
      </c>
      <c r="J36" s="20"/>
      <c r="K36" s="22"/>
      <c r="L36" s="22"/>
    </row>
    <row r="37" spans="2:13" ht="10.5" customHeight="1" x14ac:dyDescent="0.3">
      <c r="B37" s="15"/>
      <c r="J37" s="20"/>
      <c r="K37" s="22"/>
      <c r="L37" s="22"/>
    </row>
    <row r="38" spans="2:13" ht="15.6" x14ac:dyDescent="0.3">
      <c r="B38" s="17" t="s">
        <v>96</v>
      </c>
      <c r="J38" s="20" t="s">
        <v>95</v>
      </c>
      <c r="K38" s="35">
        <f>calcul!E32</f>
        <v>28.5</v>
      </c>
      <c r="L38" s="28" t="s">
        <v>92</v>
      </c>
    </row>
    <row r="39" spans="2:13" ht="10.5" customHeight="1" thickBot="1" x14ac:dyDescent="0.35">
      <c r="B39" s="4"/>
      <c r="J39" s="20"/>
      <c r="K39" s="22"/>
      <c r="L39" s="22"/>
    </row>
    <row r="40" spans="2:13" ht="16.2" thickBot="1" x14ac:dyDescent="0.35">
      <c r="B40" s="27" t="s">
        <v>98</v>
      </c>
      <c r="F40" s="32">
        <f>-ROUND((calcul!E32-calcul!E29),1)</f>
        <v>-4.5</v>
      </c>
      <c r="G40" s="28" t="s">
        <v>99</v>
      </c>
      <c r="J40" s="20"/>
      <c r="K40" s="37">
        <f>ROUND(calcul!E34,3)</f>
        <v>-0.158</v>
      </c>
      <c r="L40" s="28"/>
    </row>
    <row r="41" spans="2:13" ht="10.5" customHeight="1" thickBot="1" x14ac:dyDescent="0.35">
      <c r="B41" s="14"/>
      <c r="F41" s="1"/>
      <c r="J41" s="20"/>
      <c r="K41" s="22"/>
      <c r="L41" s="22"/>
    </row>
    <row r="42" spans="2:13" ht="16.2" thickBot="1" x14ac:dyDescent="0.35">
      <c r="B42" s="27" t="s">
        <v>97</v>
      </c>
      <c r="I42" s="20" t="s">
        <v>85</v>
      </c>
      <c r="J42" s="32" t="str">
        <f>IF(K40&lt;-0.1,"X","")</f>
        <v>X</v>
      </c>
      <c r="K42" s="20" t="s">
        <v>86</v>
      </c>
      <c r="L42" s="32" t="str">
        <f>IF(K40&gt;0,"X","")</f>
        <v/>
      </c>
    </row>
    <row r="43" spans="2:13" ht="15.6" x14ac:dyDescent="0.3">
      <c r="B43" s="13"/>
    </row>
    <row r="44" spans="2:13" ht="18" x14ac:dyDescent="0.35">
      <c r="B44" s="11" t="s">
        <v>118</v>
      </c>
    </row>
    <row r="45" spans="2:13" ht="12" customHeight="1" x14ac:dyDescent="0.3">
      <c r="B45" s="7"/>
    </row>
    <row r="46" spans="2:13" ht="10.5" customHeight="1" x14ac:dyDescent="0.3">
      <c r="B46" s="16"/>
      <c r="J46" s="20"/>
      <c r="L46" s="26"/>
    </row>
    <row r="47" spans="2:13" ht="15.6" x14ac:dyDescent="0.3">
      <c r="B47" s="6" t="s">
        <v>100</v>
      </c>
      <c r="J47" s="20" t="s">
        <v>102</v>
      </c>
      <c r="K47" s="91">
        <f>calcul!E38</f>
        <v>2180</v>
      </c>
      <c r="L47" s="26" t="s">
        <v>101</v>
      </c>
    </row>
    <row r="48" spans="2:13" ht="15.6" x14ac:dyDescent="0.3">
      <c r="B48" s="6" t="s">
        <v>103</v>
      </c>
      <c r="J48" s="20" t="s">
        <v>104</v>
      </c>
      <c r="K48" s="38">
        <f>calcul!E39</f>
        <v>0</v>
      </c>
      <c r="L48" s="26"/>
    </row>
    <row r="49" spans="2:12" ht="9.75" customHeight="1" thickBot="1" x14ac:dyDescent="0.35">
      <c r="B49" s="7" t="s">
        <v>72</v>
      </c>
      <c r="J49" s="20"/>
      <c r="L49" s="26"/>
    </row>
    <row r="50" spans="2:12" ht="16.2" thickBot="1" x14ac:dyDescent="0.35">
      <c r="B50" s="27" t="s">
        <v>105</v>
      </c>
      <c r="J50" s="20" t="s">
        <v>106</v>
      </c>
      <c r="K50" s="92">
        <f>K31-K47</f>
        <v>-180</v>
      </c>
      <c r="L50" s="26" t="s">
        <v>112</v>
      </c>
    </row>
    <row r="51" spans="2:12" ht="6" customHeight="1" thickBot="1" x14ac:dyDescent="0.35">
      <c r="B51" s="27"/>
      <c r="J51" s="20"/>
      <c r="K51" s="1"/>
      <c r="L51" s="26"/>
    </row>
    <row r="52" spans="2:12" ht="16.2" thickBot="1" x14ac:dyDescent="0.35">
      <c r="B52" s="27" t="s">
        <v>110</v>
      </c>
      <c r="J52" s="20" t="s">
        <v>107</v>
      </c>
      <c r="K52" s="36">
        <f>K50/K47</f>
        <v>-8.2568807339449546E-2</v>
      </c>
      <c r="L52" s="26"/>
    </row>
    <row r="53" spans="2:12" ht="6" customHeight="1" thickBot="1" x14ac:dyDescent="0.35">
      <c r="B53" s="6"/>
      <c r="J53" s="20"/>
      <c r="K53" s="1"/>
      <c r="L53" s="26"/>
    </row>
    <row r="54" spans="2:12" ht="16.2" thickBot="1" x14ac:dyDescent="0.35">
      <c r="B54" s="27" t="s">
        <v>111</v>
      </c>
      <c r="J54" s="20" t="s">
        <v>108</v>
      </c>
      <c r="K54" s="39">
        <f>K33-K48</f>
        <v>0</v>
      </c>
      <c r="L54" s="26"/>
    </row>
    <row r="55" spans="2:12" ht="6" customHeight="1" thickBot="1" x14ac:dyDescent="0.35">
      <c r="B55" s="6"/>
      <c r="J55" s="20"/>
      <c r="K55" s="1"/>
      <c r="L55" s="26"/>
    </row>
    <row r="56" spans="2:12" ht="16.2" thickBot="1" x14ac:dyDescent="0.35">
      <c r="B56" s="27" t="s">
        <v>121</v>
      </c>
      <c r="J56" s="20" t="s">
        <v>109</v>
      </c>
      <c r="K56" s="39">
        <f>1/(K47*(1+K48)/K31/(1+K33))-1</f>
        <v>-8.2568807339449601E-2</v>
      </c>
      <c r="L56" s="26"/>
    </row>
  </sheetData>
  <sheetProtection algorithmName="SHA-512" hashValue="umjNtivo7YaB1cJKEPKw8v7QaBb399R2IwTcOR2TTyS9WzqqwZoe6cQo8uKCoSsMaSu6hC8BZRv+ZcWobjdfpA==" saltValue="NgSbmdltx+Mhr9KS4ntd6g==" spinCount="100000" sheet="1" selectLockedCells="1"/>
  <mergeCells count="5">
    <mergeCell ref="B15:L15"/>
    <mergeCell ref="B19:L19"/>
    <mergeCell ref="J14:L14"/>
    <mergeCell ref="B2:L2"/>
    <mergeCell ref="K12:L12"/>
  </mergeCells>
  <conditionalFormatting sqref="F40">
    <cfRule type="cellIs" dxfId="2" priority="3" operator="between">
      <formula>-100</formula>
      <formula>0</formula>
    </cfRule>
  </conditionalFormatting>
  <conditionalFormatting sqref="K40">
    <cfRule type="cellIs" dxfId="1" priority="2" operator="between">
      <formula>-100</formula>
      <formula>0</formula>
    </cfRule>
  </conditionalFormatting>
  <conditionalFormatting sqref="K46:K56">
    <cfRule type="cellIs" dxfId="0" priority="1" operator="between">
      <formula>-10000</formula>
      <formula>-0.0001</formula>
    </cfRule>
  </conditionalFormatting>
  <printOptions horizontalCentered="1" verticalCentered="1"/>
  <pageMargins left="0.11811023622047245" right="0.11811023622047245" top="0.15748031496062992" bottom="0.15748031496062992" header="0" footer="0.11811023622047245"/>
  <pageSetup scale="82" orientation="portrait" r:id="rId1"/>
  <headerFooter>
    <oddFooter>&amp;C&amp;1#&amp;"Arial"&amp;6&amp;K626469Internal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1:N51"/>
  <sheetViews>
    <sheetView topLeftCell="A13" zoomScale="70" zoomScaleNormal="70" workbookViewId="0">
      <selection activeCell="S76" sqref="S76"/>
    </sheetView>
  </sheetViews>
  <sheetFormatPr baseColWidth="10" defaultColWidth="11.44140625" defaultRowHeight="14.4" x14ac:dyDescent="0.3"/>
  <cols>
    <col min="1" max="16384" width="11.44140625" style="84"/>
  </cols>
  <sheetData>
    <row r="21" spans="3:4" ht="18" x14ac:dyDescent="0.35">
      <c r="C21" s="100"/>
    </row>
    <row r="22" spans="3:4" ht="18" x14ac:dyDescent="0.35">
      <c r="D22" s="101"/>
    </row>
    <row r="33" spans="2:14" x14ac:dyDescent="0.3">
      <c r="N33" s="84" t="s">
        <v>156</v>
      </c>
    </row>
    <row r="43" spans="2:14" ht="18" x14ac:dyDescent="0.35">
      <c r="B43" s="100"/>
    </row>
    <row r="44" spans="2:14" ht="18" x14ac:dyDescent="0.35">
      <c r="C44" s="101"/>
    </row>
    <row r="48" spans="2:14" x14ac:dyDescent="0.3">
      <c r="B48" s="85" t="s">
        <v>135</v>
      </c>
    </row>
    <row r="49" spans="2:2" x14ac:dyDescent="0.3">
      <c r="B49" s="84" t="s">
        <v>136</v>
      </c>
    </row>
    <row r="50" spans="2:2" x14ac:dyDescent="0.3">
      <c r="B50" s="85"/>
    </row>
    <row r="51" spans="2:2" x14ac:dyDescent="0.3">
      <c r="B51" s="84" t="s">
        <v>157</v>
      </c>
    </row>
  </sheetData>
  <sheetProtection algorithmName="SHA-512" hashValue="yEyS9PFlwTOMBJqFfehfHO6ofHRitTcGS0QxBvtGLwmHFrFMHUOtmfySvjbgM/NK0B6JCGjplfclDq/3gOKrOw==" saltValue="QDxxw1WiZOBaYcbYTMVdFQ==" spinCount="100000" sheet="1" selectLockedCells="1" selectUnlockedCells="1"/>
  <pageMargins left="0.31496062992125984" right="0.31496062992125984" top="0.15748031496062992" bottom="0.15748031496062992" header="0.11811023622047244" footer="0.11811023622047244"/>
  <pageSetup paperSize="9" scale="50" orientation="portrait" r:id="rId1"/>
  <headerFooter>
    <oddFooter>&amp;C&amp;1#&amp;"Arial"&amp;6&amp;K626469Internal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8:E63"/>
  <sheetViews>
    <sheetView zoomScale="60" zoomScaleNormal="60" workbookViewId="0">
      <selection activeCell="T33" sqref="T33"/>
    </sheetView>
  </sheetViews>
  <sheetFormatPr baseColWidth="10" defaultColWidth="11.44140625" defaultRowHeight="14.4" x14ac:dyDescent="0.3"/>
  <cols>
    <col min="1" max="5" width="11.44140625" style="86"/>
    <col min="6" max="6" width="8.21875" style="86" customWidth="1"/>
    <col min="7" max="7" width="11.44140625" style="86"/>
    <col min="8" max="8" width="8.21875" style="86" customWidth="1"/>
    <col min="9" max="16384" width="11.44140625" style="86"/>
  </cols>
  <sheetData>
    <row r="18" spans="4:5" ht="18" x14ac:dyDescent="0.35">
      <c r="E18" s="102"/>
    </row>
    <row r="19" spans="4:5" ht="15.6" x14ac:dyDescent="0.3">
      <c r="E19" s="103"/>
    </row>
    <row r="22" spans="4:5" ht="15.6" x14ac:dyDescent="0.3">
      <c r="D22" s="104" t="s">
        <v>150</v>
      </c>
    </row>
    <row r="51" spans="1:5" ht="18" x14ac:dyDescent="0.35">
      <c r="E51" s="102"/>
    </row>
    <row r="52" spans="1:5" ht="15.6" x14ac:dyDescent="0.3">
      <c r="D52" s="104"/>
    </row>
    <row r="53" spans="1:5" ht="15.6" x14ac:dyDescent="0.3">
      <c r="E53" s="103"/>
    </row>
    <row r="59" spans="1:5" ht="15" customHeight="1" x14ac:dyDescent="0.3">
      <c r="A59" s="96"/>
      <c r="D59" s="87"/>
    </row>
    <row r="60" spans="1:5" x14ac:dyDescent="0.3">
      <c r="A60" s="96"/>
      <c r="C60" s="89"/>
      <c r="D60" s="88"/>
    </row>
    <row r="61" spans="1:5" x14ac:dyDescent="0.3">
      <c r="A61" s="96"/>
    </row>
    <row r="62" spans="1:5" x14ac:dyDescent="0.3">
      <c r="A62" s="97"/>
      <c r="C62" s="89"/>
    </row>
    <row r="63" spans="1:5" x14ac:dyDescent="0.3">
      <c r="A63" s="96"/>
    </row>
  </sheetData>
  <sheetProtection algorithmName="SHA-512" hashValue="zDuZEN4XTL+xQ9T9Cl+K1zJkN5c6rwxR+5EHPgO0agyLQw5B50/sw8S7aNeGEv9mG7PoT/zXSmiFiOwVAvbs0w==" saltValue="5R7mcUHU2nDbxhmmuJZ4RQ==" spinCount="100000" sheet="1" selectLockedCells="1" selectUnlockedCells="1"/>
  <printOptions horizontalCentered="1" verticalCentered="1"/>
  <pageMargins left="0.31496062992125984" right="0.31496062992125984" top="0.19685039370078741" bottom="0.15748031496062992" header="0.11811023622047245" footer="0.11811023622047245"/>
  <pageSetup paperSize="9" scale="48" orientation="portrait" r:id="rId1"/>
  <headerFooter>
    <oddFooter>&amp;C&amp;1#&amp;"Arial"&amp;6&amp;K626469Internal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75466F1FCC5A4083280BF0AA5FDDB5" ma:contentTypeVersion="10" ma:contentTypeDescription="Create a new document." ma:contentTypeScope="" ma:versionID="bdd67b3985639f97b8f62567715015bb">
  <xsd:schema xmlns:xsd="http://www.w3.org/2001/XMLSchema" xmlns:xs="http://www.w3.org/2001/XMLSchema" xmlns:p="http://schemas.microsoft.com/office/2006/metadata/properties" xmlns:ns3="7df8bd21-6d6f-4018-baa6-1c9896eaccae" targetNamespace="http://schemas.microsoft.com/office/2006/metadata/properties" ma:root="true" ma:fieldsID="156a065437a70976321df4418fa189a2" ns3:_="">
    <xsd:import namespace="7df8bd21-6d6f-4018-baa6-1c9896eacca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f8bd21-6d6f-4018-baa6-1c9896eacc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9AB8ED-32DB-48CE-94A4-60BAC1E6E578}">
  <ds:schemaRefs>
    <ds:schemaRef ds:uri="http://schemas.microsoft.com/sharepoint/v3/contenttype/forms"/>
  </ds:schemaRefs>
</ds:datastoreItem>
</file>

<file path=customXml/itemProps2.xml><?xml version="1.0" encoding="utf-8"?>
<ds:datastoreItem xmlns:ds="http://schemas.openxmlformats.org/officeDocument/2006/customXml" ds:itemID="{CAD0A9DE-9910-4A99-AA9D-783DFCB022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f8bd21-6d6f-4018-baa6-1c9896eac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4A8C16-181B-4DBE-8213-93EF4A55506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calcul</vt:lpstr>
      <vt:lpstr>Données</vt:lpstr>
      <vt:lpstr>Synthèse à imprimer</vt:lpstr>
      <vt:lpstr>Tableaux OATAM</vt:lpstr>
      <vt:lpstr>Tableaux I&amp;C</vt:lpstr>
    </vt:vector>
  </TitlesOfParts>
  <Company>Schneider Electric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CFTC</dc:creator>
  <cp:lastModifiedBy>Olivier CHEVALLET - SESA52629</cp:lastModifiedBy>
  <cp:lastPrinted>2018-10-12T09:00:35Z</cp:lastPrinted>
  <dcterms:created xsi:type="dcterms:W3CDTF">2016-02-29T15:58:51Z</dcterms:created>
  <dcterms:modified xsi:type="dcterms:W3CDTF">2022-01-21T12:08:48Z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0x010100D775466F1FCC5A4083280BF0AA5FDDB5</vt:lpwstr>
  </property>
  <property fmtid="{D5CDD505-2E9C-101B-9397-08002B2CF9AE}" pid="3" name="MSIP_Label_23f93e5f-d3c2-49a7-ba94-15405423c204_Enabled">
    <vt:lpwstr>true</vt:lpwstr>
  </property>
  <property fmtid="{D5CDD505-2E9C-101B-9397-08002B2CF9AE}" pid="4" name="MSIP_Label_23f93e5f-d3c2-49a7-ba94-15405423c204_SetDate">
    <vt:lpwstr>2022-01-21T12:08:48Z</vt:lpwstr>
  </property>
  <property fmtid="{D5CDD505-2E9C-101B-9397-08002B2CF9AE}" pid="5" name="MSIP_Label_23f93e5f-d3c2-49a7-ba94-15405423c204_Method">
    <vt:lpwstr>Standard</vt:lpwstr>
  </property>
  <property fmtid="{D5CDD505-2E9C-101B-9397-08002B2CF9AE}" pid="6" name="MSIP_Label_23f93e5f-d3c2-49a7-ba94-15405423c204_Name">
    <vt:lpwstr>SE Internal</vt:lpwstr>
  </property>
  <property fmtid="{D5CDD505-2E9C-101B-9397-08002B2CF9AE}" pid="7" name="MSIP_Label_23f93e5f-d3c2-49a7-ba94-15405423c204_SiteId">
    <vt:lpwstr>6e51e1ad-c54b-4b39-b598-0ffe9ae68fef</vt:lpwstr>
  </property>
  <property fmtid="{D5CDD505-2E9C-101B-9397-08002B2CF9AE}" pid="8" name="MSIP_Label_23f93e5f-d3c2-49a7-ba94-15405423c204_ActionId">
    <vt:lpwstr>7427f013-0a72-49ce-bc1b-68b1fefb3d28</vt:lpwstr>
  </property>
  <property fmtid="{D5CDD505-2E9C-101B-9397-08002B2CF9AE}" pid="9" name="MSIP_Label_23f93e5f-d3c2-49a7-ba94-15405423c204_ContentBits">
    <vt:lpwstr>2</vt:lpwstr>
  </property>
</Properties>
</file>