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neiderelectric-my.sharepoint.com/personal/sesa17813_se_com/Documents/Documents/Syndicat/Tract/Jobmetre/"/>
    </mc:Choice>
  </mc:AlternateContent>
  <xr:revisionPtr revIDLastSave="33" documentId="8_{1F082AAD-98C5-40FF-B603-62F8FBBA87E9}" xr6:coauthVersionLast="47" xr6:coauthVersionMax="47" xr10:uidLastSave="{14AAD2AD-A153-4661-92E7-2B2E6577E08B}"/>
  <workbookProtection workbookAlgorithmName="SHA-512" workbookHashValue="KCGQAs+DTPYh1QJh2oBWtCFZ+qIhUeBjNxdLM+h9zEF9R6tUA+oUXxj91/I74ABj1TmJ78ynBWS5DtFU2MaAGQ==" workbookSaltValue="tu/SYZf1w56+sxgqHIQMfw==" workbookSpinCount="100000" lockStructure="1"/>
  <bookViews>
    <workbookView xWindow="-110" yWindow="-110" windowWidth="19420" windowHeight="11500" xr2:uid="{00000000-000D-0000-FFFF-FFFF00000000}"/>
  </bookViews>
  <sheets>
    <sheet name="Calculation" sheetId="1" r:id="rId1"/>
    <sheet name="Données" sheetId="3" state="hidden" r:id="rId2"/>
    <sheet name="Summary sheet to print" sheetId="5" r:id="rId3"/>
    <sheet name="OATAM's Table" sheetId="7" r:id="rId4"/>
    <sheet name="Cadre's Table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2" i="1"/>
  <c r="N45" i="3"/>
  <c r="N44" i="3"/>
  <c r="N43" i="3"/>
  <c r="N42" i="3"/>
  <c r="N41" i="3"/>
  <c r="N40" i="3"/>
  <c r="N39" i="3"/>
  <c r="N28" i="3"/>
  <c r="N27" i="3"/>
  <c r="N26" i="3"/>
  <c r="N25" i="3"/>
  <c r="N24" i="3"/>
  <c r="E26" i="1" l="1"/>
  <c r="E36" i="1" l="1"/>
  <c r="E35" i="1"/>
  <c r="E29" i="1" l="1"/>
  <c r="K12" i="5" l="1"/>
  <c r="F24" i="1"/>
  <c r="K26" i="5"/>
  <c r="K24" i="5"/>
  <c r="K22" i="5"/>
  <c r="K17" i="5"/>
  <c r="K10" i="5"/>
  <c r="K8" i="5"/>
  <c r="G6" i="5"/>
  <c r="H4" i="5"/>
  <c r="C4" i="5"/>
  <c r="F12" i="1"/>
  <c r="F13" i="1"/>
  <c r="E5" i="1"/>
  <c r="K43" i="5"/>
  <c r="E60" i="3"/>
  <c r="E59" i="3"/>
  <c r="E51" i="3"/>
  <c r="E46" i="3"/>
  <c r="E48" i="3" s="1"/>
  <c r="E49" i="3" s="1"/>
  <c r="E43" i="3"/>
  <c r="D34" i="3"/>
  <c r="E30" i="3"/>
  <c r="F18" i="3"/>
  <c r="C22" i="3"/>
  <c r="D17" i="3"/>
  <c r="D16" i="3"/>
  <c r="D15" i="3"/>
  <c r="D14" i="3"/>
  <c r="D8" i="3"/>
  <c r="D9" i="3"/>
  <c r="D10" i="3"/>
  <c r="D11" i="3"/>
  <c r="D12" i="3"/>
  <c r="D13" i="3"/>
  <c r="N6" i="3"/>
  <c r="N4" i="3"/>
  <c r="N3" i="3"/>
  <c r="B32" i="3"/>
  <c r="D19" i="1" l="1"/>
  <c r="A19" i="1" s="1"/>
  <c r="E53" i="3"/>
  <c r="E61" i="3"/>
  <c r="E63" i="3" s="1"/>
  <c r="E37" i="1"/>
  <c r="E39" i="1" s="1"/>
  <c r="G39" i="1" s="1"/>
  <c r="K42" i="5"/>
  <c r="K45" i="5" s="1"/>
  <c r="K47" i="5" s="1"/>
  <c r="F31" i="5"/>
  <c r="K49" i="5"/>
  <c r="D13" i="1"/>
  <c r="D12" i="1"/>
  <c r="K29" i="5"/>
  <c r="E31" i="1"/>
  <c r="G31" i="1" s="1"/>
  <c r="K51" i="5" l="1"/>
  <c r="E32" i="1"/>
  <c r="J33" i="5" s="1"/>
  <c r="K31" i="5"/>
  <c r="J37" i="5" l="1"/>
  <c r="L37" i="5"/>
</calcChain>
</file>

<file path=xl/sharedStrings.xml><?xml version="1.0" encoding="utf-8"?>
<sst xmlns="http://schemas.openxmlformats.org/spreadsheetml/2006/main" count="219" uniqueCount="167">
  <si>
    <t>IC ou OATAM</t>
  </si>
  <si>
    <t>Catégorie Socio-professionnelle</t>
  </si>
  <si>
    <t>Goupe de poste ou grade pour les IC</t>
  </si>
  <si>
    <t>ATAM</t>
  </si>
  <si>
    <t>Nb d'année dans le poste actuel</t>
  </si>
  <si>
    <t>Notes obtenue</t>
  </si>
  <si>
    <t>Date</t>
  </si>
  <si>
    <t>Moyenne</t>
  </si>
  <si>
    <t>OATAM</t>
  </si>
  <si>
    <t>Quel est votre coefficient (OATAM) ou votre classification (IC)</t>
  </si>
  <si>
    <t>maîtrise</t>
  </si>
  <si>
    <t>Rappel</t>
  </si>
  <si>
    <t>accueil</t>
  </si>
  <si>
    <t>Spécialiste</t>
  </si>
  <si>
    <t>Salaire min</t>
  </si>
  <si>
    <t>salaire max</t>
  </si>
  <si>
    <t>Salaire Moyen SEI SEF</t>
  </si>
  <si>
    <t>OATAM : quel est votre groupe de poste</t>
  </si>
  <si>
    <t>IC : quel est votre grade</t>
  </si>
  <si>
    <t>Coefficient de maîtrise pour votre grade</t>
  </si>
  <si>
    <t>Case à remplir</t>
  </si>
  <si>
    <t>Case calculée</t>
  </si>
  <si>
    <t>Indiquez votre Salaire Mensuel de Base Brut (SMB) €/mois</t>
  </si>
  <si>
    <t>Ajoutez votre éventuel Taux de Bonus cible (%)</t>
  </si>
  <si>
    <t>Sans les primes fixes ou d'ancienneté</t>
  </si>
  <si>
    <t>==&gt; Votre salaire annuel brut Bonus compris (SAB) - k€/an</t>
  </si>
  <si>
    <t>k€/an</t>
  </si>
  <si>
    <t>Ecart salarial dans le poste par rapport au Salaire Médian du Marché</t>
  </si>
  <si>
    <t>Ecart salarial dans le poste par rapport au Salaire Moyen du Marché</t>
  </si>
  <si>
    <t xml:space="preserve">Le salaire médian du marché </t>
  </si>
  <si>
    <t>Le  salaire moyen SEI/SEF pour votre cotation de poste</t>
  </si>
  <si>
    <t>Ouvriers</t>
  </si>
  <si>
    <t>Comparaison avec le salaire moyen de Schneider à une qualification donnée</t>
  </si>
  <si>
    <t>Ecart de votre salaire avec le salaire moyen chez =S= pour votre qualification</t>
  </si>
  <si>
    <t>Le cas échéant Bonus Moyen</t>
  </si>
  <si>
    <t>Salaire mensuel moyen Schneider de votre qualification</t>
  </si>
  <si>
    <t>Salaire annuel moyen Schneider pour votre qualification</t>
  </si>
  <si>
    <t>Compa ratio</t>
  </si>
  <si>
    <t>Goupe de poste pour les OATAM ou grade pour les IC</t>
  </si>
  <si>
    <t>Données à remplir</t>
  </si>
  <si>
    <t>Evaluation</t>
  </si>
  <si>
    <t>Très performant</t>
  </si>
  <si>
    <t>Performant</t>
  </si>
  <si>
    <t>Compétent</t>
  </si>
  <si>
    <t>Non Performant</t>
  </si>
  <si>
    <t>CFTC Schneider Electric</t>
  </si>
  <si>
    <r>
      <t xml:space="preserve"> </t>
    </r>
    <r>
      <rPr>
        <sz val="2"/>
        <color rgb="FF000000"/>
        <rFont val="Calibri"/>
        <family val="2"/>
      </rPr>
      <t xml:space="preserve">     </t>
    </r>
  </si>
  <si>
    <t xml:space="preserve">A = </t>
  </si>
  <si>
    <t xml:space="preserve">G = </t>
  </si>
  <si>
    <t xml:space="preserve"> ans</t>
  </si>
  <si>
    <t xml:space="preserve">C/P = </t>
  </si>
  <si>
    <t xml:space="preserve">SMB = </t>
  </si>
  <si>
    <t xml:space="preserve">SAB = </t>
  </si>
  <si>
    <t xml:space="preserve">TBC = </t>
  </si>
  <si>
    <t xml:space="preserve">SMM = </t>
  </si>
  <si>
    <t xml:space="preserve"> €/mois     </t>
  </si>
  <si>
    <t xml:space="preserve"> SM SEI-SEF = </t>
  </si>
  <si>
    <t xml:space="preserve">            TBM = </t>
  </si>
  <si>
    <t xml:space="preserve">ESS = +/- </t>
  </si>
  <si>
    <t xml:space="preserve">ESB = +/- </t>
  </si>
  <si>
    <t xml:space="preserve">EBC = +/- </t>
  </si>
  <si>
    <t xml:space="preserve">ETS = +/- </t>
  </si>
  <si>
    <t>€</t>
  </si>
  <si>
    <t>Gp poste/grade</t>
  </si>
  <si>
    <t>K€</t>
  </si>
  <si>
    <t>Rappel 2016 (nov2015)</t>
  </si>
  <si>
    <t>nb de personnes</t>
  </si>
  <si>
    <t>STIP</t>
  </si>
  <si>
    <t>FSN</t>
  </si>
  <si>
    <t xml:space="preserve">EP = </t>
  </si>
  <si>
    <t>Salaire Médian marché</t>
  </si>
  <si>
    <t>Archives</t>
  </si>
  <si>
    <t>Fin 2017</t>
  </si>
  <si>
    <t>Rappel 2017(nov 2016)</t>
  </si>
  <si>
    <t>Nb de personnes</t>
  </si>
  <si>
    <t>Salaire Moyen SEI SEF estimé(1,9%d'augmentation)</t>
  </si>
  <si>
    <t>A modifier tous les ans - cases jaunes</t>
  </si>
  <si>
    <t>IAB2</t>
  </si>
  <si>
    <t>Plus de données depuis 2021</t>
  </si>
  <si>
    <t>Albert</t>
  </si>
  <si>
    <t>JULIENS</t>
  </si>
  <si>
    <t>Jobmètre 202 : Juillet 2022</t>
  </si>
  <si>
    <t>Cadre</t>
  </si>
  <si>
    <t>Non-cadre</t>
  </si>
  <si>
    <t>E10</t>
  </si>
  <si>
    <t>E9</t>
  </si>
  <si>
    <t>D8</t>
  </si>
  <si>
    <t>D7</t>
  </si>
  <si>
    <t>C6</t>
  </si>
  <si>
    <t>C5</t>
  </si>
  <si>
    <t>B4</t>
  </si>
  <si>
    <t>B3</t>
  </si>
  <si>
    <t>A2</t>
  </si>
  <si>
    <t>A1</t>
  </si>
  <si>
    <t>F11</t>
  </si>
  <si>
    <t>F12</t>
  </si>
  <si>
    <t>G13</t>
  </si>
  <si>
    <t>G14</t>
  </si>
  <si>
    <t>H15</t>
  </si>
  <si>
    <t>H16</t>
  </si>
  <si>
    <t>I17</t>
  </si>
  <si>
    <t>I18</t>
  </si>
  <si>
    <t>salaire médian de Schneider à une qualification donnée</t>
  </si>
  <si>
    <t xml:space="preserve">Manual               :             fill in the box in yellow, </t>
  </si>
  <si>
    <t>you'll get the results in the blue boxes below.</t>
  </si>
  <si>
    <t>To fill</t>
  </si>
  <si>
    <t>calculation</t>
  </si>
  <si>
    <t>Family Name</t>
  </si>
  <si>
    <t>Given Name</t>
  </si>
  <si>
    <t xml:space="preserve">Job Title and/or job code of job held :  </t>
  </si>
  <si>
    <r>
      <t xml:space="preserve">Socio-Professional Category : </t>
    </r>
    <r>
      <rPr>
        <b/>
        <sz val="12"/>
        <color theme="1"/>
        <rFont val="Calibri"/>
        <family val="2"/>
        <scheme val="minor"/>
      </rPr>
      <t>Cadre</t>
    </r>
    <r>
      <rPr>
        <sz val="12"/>
        <color theme="1"/>
        <rFont val="Calibri"/>
        <family val="2"/>
        <scheme val="minor"/>
      </rPr>
      <t xml:space="preserve"> = Engineers and Managers, </t>
    </r>
    <r>
      <rPr>
        <b/>
        <sz val="12"/>
        <color theme="1"/>
        <rFont val="Calibri"/>
        <family val="2"/>
        <scheme val="minor"/>
      </rPr>
      <t>Non Cadre</t>
    </r>
    <r>
      <rPr>
        <sz val="12"/>
        <color theme="1"/>
        <rFont val="Calibri"/>
        <family val="2"/>
        <scheme val="minor"/>
      </rPr>
      <t xml:space="preserve"> = others (OATAM)</t>
    </r>
  </si>
  <si>
    <t>what is you classification</t>
  </si>
  <si>
    <t>Enter your Gross Basic Monthly Pay (SMB) €/month</t>
  </si>
  <si>
    <t>Excluding fixed or seniority bonuses</t>
  </si>
  <si>
    <t>STIP or SIP targeted (%)</t>
  </si>
  <si>
    <t>Number of years spent in the current job</t>
  </si>
  <si>
    <t>==&gt; Your Gross Annual Pay, including STIP or SIP (SAB) - k€/year</t>
  </si>
  <si>
    <t>Pay calculation</t>
  </si>
  <si>
    <t>Consistent</t>
  </si>
  <si>
    <t>Exceptionnal</t>
  </si>
  <si>
    <t>In development</t>
  </si>
  <si>
    <t>Compare your pay with the market price for the job (proficiency pay)</t>
  </si>
  <si>
    <t>Median Market Pay for your job in accordance with its grading</t>
  </si>
  <si>
    <t>Your Compa ratio (Ratio between your Gross Pay and the Market Pay)</t>
  </si>
  <si>
    <t>Salary gap compared to the Median Market Pay</t>
  </si>
  <si>
    <t>Comparison with the average SEI-SEF salary for a given classification</t>
  </si>
  <si>
    <t>Median Monthly Pay of SEI-SEF employees with the same classification</t>
  </si>
  <si>
    <t>If applicable, Average Target STIP / SIP</t>
  </si>
  <si>
    <t>Average Yearly Pay of SEI-SEF employees with the same classification</t>
  </si>
  <si>
    <t>Pay difference between your Pay and the median Pay with same classification</t>
  </si>
  <si>
    <t>The summary tab to print (blue) allows you to have a clean version to present to your manager</t>
  </si>
  <si>
    <t>A compa ratio close to 1 means that your Pay is close to the Market Pay</t>
  </si>
  <si>
    <t>Summary sheet to check your salary status based on your effective value</t>
  </si>
  <si>
    <t>First Name</t>
  </si>
  <si>
    <t>Last Name</t>
  </si>
  <si>
    <t>job code of job held</t>
  </si>
  <si>
    <r>
      <t xml:space="preserve">Job Grading </t>
    </r>
    <r>
      <rPr>
        <sz val="12"/>
        <color rgb="FF000000"/>
        <rFont val="Calibri"/>
        <family val="2"/>
      </rPr>
      <t xml:space="preserve">(OATAM : group from 6 to 18, I&amp;C : grad from 4 to 10) </t>
    </r>
    <r>
      <rPr>
        <b/>
        <sz val="12"/>
        <color rgb="FF000000"/>
        <rFont val="Calibri"/>
        <family val="2"/>
      </rPr>
      <t xml:space="preserve">: </t>
    </r>
  </si>
  <si>
    <t>Number of years of experience in the current job :</t>
  </si>
  <si>
    <t>Performance Evaluation received at the last annual apraisal</t>
  </si>
  <si>
    <t>Job Classification (Classe d'emploi)</t>
  </si>
  <si>
    <t>Negociate a salary increase, for a remuneration in line with the market:</t>
  </si>
  <si>
    <r>
      <t xml:space="preserve">Gross Basic Monthly Pay </t>
    </r>
    <r>
      <rPr>
        <sz val="12"/>
        <color rgb="FF000000"/>
        <rFont val="Calibri"/>
        <family val="2"/>
      </rPr>
      <t>(excluding fixed or seniority bonuses)</t>
    </r>
  </si>
  <si>
    <r>
      <t xml:space="preserve">=&gt; Gross Annual Pay including target STIP or SIP </t>
    </r>
    <r>
      <rPr>
        <sz val="12"/>
        <color rgb="FF000000"/>
        <rFont val="Calibri"/>
        <family val="2"/>
      </rPr>
      <t>(excluding fixed or seniority bonuses)</t>
    </r>
    <r>
      <rPr>
        <b/>
        <sz val="12"/>
        <color rgb="FF000000"/>
        <rFont val="Calibri"/>
        <family val="2"/>
      </rPr>
      <t> :</t>
    </r>
  </si>
  <si>
    <r>
      <t xml:space="preserve">Median Market Pay for the job in accordance with its grading </t>
    </r>
    <r>
      <rPr>
        <sz val="12"/>
        <color rgb="FF000000"/>
        <rFont val="Calibri"/>
        <family val="2"/>
      </rPr>
      <t>(see pay spaces § 3)</t>
    </r>
    <r>
      <rPr>
        <b/>
        <sz val="12"/>
        <color rgb="FF000000"/>
        <rFont val="Calibri"/>
        <family val="2"/>
      </rPr>
      <t xml:space="preserve"> :  </t>
    </r>
  </si>
  <si>
    <r>
      <t>=&gt; Pay difference for the job, ESP</t>
    </r>
    <r>
      <rPr>
        <sz val="12"/>
        <color rgb="FF000000"/>
        <rFont val="Calibri"/>
        <family val="2"/>
      </rPr>
      <t xml:space="preserve"> = SAB - SMM </t>
    </r>
    <r>
      <rPr>
        <b/>
        <sz val="12"/>
        <color rgb="FF000000"/>
        <rFont val="Calibri"/>
        <family val="2"/>
      </rPr>
      <t>:      +/-</t>
    </r>
    <r>
      <rPr>
        <sz val="12"/>
        <color rgb="FF000000"/>
        <rFont val="Calibri"/>
        <family val="2"/>
      </rPr>
      <t xml:space="preserve"> </t>
    </r>
  </si>
  <si>
    <r>
      <t xml:space="preserve">Target STIP / SIP  Rate </t>
    </r>
    <r>
      <rPr>
        <sz val="12"/>
        <color rgb="FF000000"/>
        <rFont val="Calibri"/>
        <family val="2"/>
      </rPr>
      <t>(Sales force, Managers, Engineers)</t>
    </r>
    <r>
      <rPr>
        <b/>
        <sz val="12"/>
        <color rgb="FF000000"/>
        <rFont val="Calibri"/>
        <family val="2"/>
      </rPr>
      <t xml:space="preserve">: </t>
    </r>
  </si>
  <si>
    <t>€/month</t>
  </si>
  <si>
    <t>k€/year</t>
  </si>
  <si>
    <t>[OATAM : SMB (€) x 12/1000    Sales forces and Management: SMB (€) x 12 x (1+TBC/100) /1000]</t>
  </si>
  <si>
    <r>
      <t xml:space="preserve">k€, </t>
    </r>
    <r>
      <rPr>
        <sz val="12"/>
        <color theme="1"/>
        <rFont val="Calibri"/>
        <family val="2"/>
        <scheme val="minor"/>
      </rPr>
      <t>i.e. as a percentage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 xml:space="preserve">ESPx100/SMM = </t>
    </r>
    <r>
      <rPr>
        <b/>
        <sz val="12"/>
        <color theme="1"/>
        <rFont val="Calibri"/>
        <family val="2"/>
        <scheme val="minor"/>
      </rPr>
      <t xml:space="preserve"> +/-</t>
    </r>
  </si>
  <si>
    <r>
      <rPr>
        <b/>
        <sz val="18"/>
        <color rgb="FF0F3F93"/>
        <rFont val="Calibri"/>
        <family val="2"/>
      </rPr>
      <t>Compa-Ratio</t>
    </r>
    <r>
      <rPr>
        <b/>
        <sz val="12"/>
        <color rgb="FF0F3F93"/>
        <rFont val="Calibri"/>
        <family val="2"/>
      </rPr>
      <t xml:space="preserve"> </t>
    </r>
    <r>
      <rPr>
        <sz val="12"/>
        <color rgb="FF0F3F93"/>
        <rFont val="Calibri"/>
        <family val="2"/>
      </rPr>
      <t>CR</t>
    </r>
    <r>
      <rPr>
        <sz val="12"/>
        <color rgb="FF000000"/>
        <rFont val="Calibri"/>
        <family val="2"/>
      </rPr>
      <t xml:space="preserve"> = SAB/SMM</t>
    </r>
    <r>
      <rPr>
        <b/>
        <sz val="12"/>
        <color rgb="FF000000"/>
        <rFont val="Calibri"/>
        <family val="2"/>
      </rPr>
      <t>.</t>
    </r>
    <r>
      <rPr>
        <sz val="12"/>
        <color rgb="FF000000"/>
        <rFont val="Calibri"/>
        <family val="2"/>
      </rPr>
      <t xml:space="preserve"> This is the main criterion looked at by management and HR.</t>
    </r>
  </si>
  <si>
    <t>This is the first criterion that your manager and HR will look at.</t>
  </si>
  <si>
    <t>less than 1 you are below market value</t>
  </si>
  <si>
    <t>=&gt; Difference to be corrected (according to your current level, check yes / no) :</t>
  </si>
  <si>
    <t>YES</t>
  </si>
  <si>
    <t>NO</t>
  </si>
  <si>
    <t>Calculate your salary gap to catch up with the average for SEI-SEF employees:</t>
  </si>
  <si>
    <r>
      <t xml:space="preserve">Average Pay of employees with the same classification </t>
    </r>
    <r>
      <rPr>
        <sz val="10"/>
        <color rgb="FF000000"/>
        <rFont val="Calibri"/>
        <family val="2"/>
      </rPr>
      <t>(see tables in sheeet"Cadre" or "Non-cadre")</t>
    </r>
  </si>
  <si>
    <r>
      <t xml:space="preserve">Average target STIP "Cadre" of same classification </t>
    </r>
    <r>
      <rPr>
        <sz val="10"/>
        <color rgb="FF000000"/>
        <rFont val="Calibri"/>
        <family val="2"/>
      </rPr>
      <t>(see table in the "Cadre" sheet)</t>
    </r>
  </si>
  <si>
    <r>
      <t xml:space="preserve">=&gt; Your basic pay gap as a % </t>
    </r>
    <r>
      <rPr>
        <sz val="12"/>
        <color rgb="FF000000"/>
        <rFont val="Calibri"/>
        <family val="2"/>
      </rPr>
      <t xml:space="preserve">(ESS x 100 / SM SEI-SEF of the same classification) </t>
    </r>
    <r>
      <rPr>
        <b/>
        <sz val="12"/>
        <color rgb="FF000000"/>
        <rFont val="Calibri"/>
        <family val="2"/>
      </rPr>
      <t>:</t>
    </r>
  </si>
  <si>
    <r>
      <t xml:space="preserve">=&gt; Your Pay Gap from other employees in € </t>
    </r>
    <r>
      <rPr>
        <sz val="12"/>
        <color rgb="FF000000"/>
        <rFont val="Calibri"/>
        <family val="2"/>
      </rPr>
      <t xml:space="preserve">(SMB – SM SEI-SEF of the same classification): </t>
    </r>
  </si>
  <si>
    <r>
      <t xml:space="preserve">=&gt; Your target STIP Difference as a % </t>
    </r>
    <r>
      <rPr>
        <sz val="12"/>
        <color rgb="FF000000"/>
        <rFont val="Calibri"/>
        <family val="2"/>
      </rPr>
      <t xml:space="preserve">(TBC - TBM Cadre for the same classification) </t>
    </r>
    <r>
      <rPr>
        <b/>
        <sz val="12"/>
        <color rgb="FF000000"/>
        <rFont val="Calibri"/>
        <family val="2"/>
      </rPr>
      <t xml:space="preserve">: </t>
    </r>
  </si>
  <si>
    <r>
      <t xml:space="preserve">=&gt; Votre Ecart Total salary gap in %  </t>
    </r>
    <r>
      <rPr>
        <sz val="12"/>
        <color rgb="FF000000"/>
        <rFont val="Calibri"/>
        <family val="2"/>
      </rPr>
      <t>with employees at the same classification :</t>
    </r>
  </si>
  <si>
    <t>Partner of your professional life</t>
  </si>
  <si>
    <t>Last Evaluation :</t>
  </si>
  <si>
    <t>CFTC  2026 May</t>
  </si>
  <si>
    <t>Median Pay from 2025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</si>
</sst>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\ _€_-;\-* #,##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00FF"/>
      <name val="Calibri"/>
      <family val="2"/>
    </font>
    <font>
      <sz val="14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4"/>
      <color rgb="FF000000"/>
      <name val="Calibri"/>
      <family val="2"/>
    </font>
    <font>
      <sz val="6"/>
      <color rgb="FF000000"/>
      <name val="Calibri"/>
      <family val="2"/>
    </font>
    <font>
      <sz val="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rgb="FF1D71B8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Calibri"/>
      <family val="2"/>
    </font>
    <font>
      <b/>
      <sz val="16"/>
      <color rgb="FF0F3F93"/>
      <name val="Calibri"/>
      <family val="2"/>
    </font>
    <font>
      <b/>
      <sz val="14"/>
      <color rgb="FF0F3F93"/>
      <name val="Calibri"/>
      <family val="2"/>
      <scheme val="minor"/>
    </font>
    <font>
      <b/>
      <sz val="12"/>
      <color rgb="FF0F3F93"/>
      <name val="Calibri"/>
      <family val="2"/>
      <scheme val="minor"/>
    </font>
    <font>
      <b/>
      <sz val="12"/>
      <color rgb="FF0F3F93"/>
      <name val="Calibri"/>
      <family val="2"/>
    </font>
    <font>
      <sz val="12"/>
      <color rgb="FF0F3F93"/>
      <name val="Calibri"/>
      <family val="2"/>
    </font>
    <font>
      <b/>
      <i/>
      <sz val="14"/>
      <color rgb="FF0F3F93"/>
      <name val="Calibri"/>
      <family val="2"/>
    </font>
    <font>
      <b/>
      <i/>
      <sz val="12"/>
      <color rgb="FF0F3F93"/>
      <name val="Calibri"/>
      <family val="2"/>
      <scheme val="minor"/>
    </font>
    <font>
      <b/>
      <sz val="18"/>
      <color rgb="FF0F3F93"/>
      <name val="Calibri"/>
      <family val="2"/>
    </font>
    <font>
      <b/>
      <sz val="16"/>
      <color rgb="FF0F3F93"/>
      <name val="Calibri"/>
      <family val="2"/>
      <scheme val="minor"/>
    </font>
    <font>
      <sz val="11"/>
      <color rgb="FF0F3F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23" fillId="0" borderId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3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0" fontId="16" fillId="0" borderId="0" xfId="0" quotePrefix="1" applyFont="1"/>
    <xf numFmtId="0" fontId="16" fillId="0" borderId="0" xfId="0" applyFont="1" applyAlignment="1">
      <alignment horizontal="left"/>
    </xf>
    <xf numFmtId="0" fontId="8" fillId="0" borderId="0" xfId="0" quotePrefix="1" applyFont="1"/>
    <xf numFmtId="0" fontId="17" fillId="0" borderId="0" xfId="0" applyFont="1"/>
    <xf numFmtId="0" fontId="3" fillId="0" borderId="9" xfId="0" applyFont="1" applyBorder="1" applyAlignment="1">
      <alignment horizontal="center"/>
    </xf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9" xfId="0" applyNumberFormat="1" applyFont="1" applyBorder="1"/>
    <xf numFmtId="0" fontId="6" fillId="0" borderId="0" xfId="0" applyFont="1"/>
    <xf numFmtId="0" fontId="4" fillId="2" borderId="0" xfId="0" applyFont="1" applyFill="1" applyProtection="1">
      <protection locked="0"/>
    </xf>
    <xf numFmtId="0" fontId="4" fillId="3" borderId="0" xfId="0" applyFont="1" applyFill="1"/>
    <xf numFmtId="14" fontId="16" fillId="0" borderId="0" xfId="0" applyNumberFormat="1" applyFont="1" applyProtection="1">
      <protection locked="0"/>
    </xf>
    <xf numFmtId="0" fontId="16" fillId="5" borderId="0" xfId="0" applyFont="1" applyFill="1"/>
    <xf numFmtId="0" fontId="4" fillId="5" borderId="0" xfId="0" applyFont="1" applyFill="1"/>
    <xf numFmtId="14" fontId="16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9" fillId="0" borderId="0" xfId="0" applyFont="1"/>
    <xf numFmtId="166" fontId="19" fillId="0" borderId="0" xfId="0" applyNumberFormat="1" applyFont="1" applyAlignment="1">
      <alignment horizontal="right"/>
    </xf>
    <xf numFmtId="9" fontId="4" fillId="2" borderId="0" xfId="1" applyFont="1" applyFill="1" applyProtection="1">
      <protection locked="0"/>
    </xf>
    <xf numFmtId="1" fontId="4" fillId="3" borderId="0" xfId="0" applyNumberFormat="1" applyFont="1" applyFill="1"/>
    <xf numFmtId="166" fontId="4" fillId="3" borderId="0" xfId="0" applyNumberFormat="1" applyFont="1" applyFill="1"/>
    <xf numFmtId="0" fontId="16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0" borderId="4" xfId="0" applyFont="1" applyBorder="1"/>
    <xf numFmtId="0" fontId="4" fillId="0" borderId="5" xfId="0" applyFont="1" applyBorder="1"/>
    <xf numFmtId="165" fontId="4" fillId="3" borderId="0" xfId="1" applyNumberFormat="1" applyFont="1" applyFill="1" applyBorder="1"/>
    <xf numFmtId="0" fontId="4" fillId="0" borderId="6" xfId="0" applyFont="1" applyBorder="1"/>
    <xf numFmtId="0" fontId="16" fillId="0" borderId="7" xfId="0" applyFont="1" applyBorder="1"/>
    <xf numFmtId="2" fontId="16" fillId="4" borderId="7" xfId="1" applyNumberFormat="1" applyFont="1" applyFill="1" applyBorder="1"/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1" fontId="4" fillId="3" borderId="0" xfId="1" applyNumberFormat="1" applyFont="1" applyFill="1" applyBorder="1"/>
    <xf numFmtId="10" fontId="4" fillId="3" borderId="7" xfId="1" applyNumberFormat="1" applyFont="1" applyFill="1" applyBorder="1"/>
    <xf numFmtId="10" fontId="4" fillId="0" borderId="0" xfId="0" applyNumberFormat="1" applyFont="1"/>
    <xf numFmtId="166" fontId="16" fillId="3" borderId="0" xfId="0" applyNumberFormat="1" applyFont="1" applyFill="1"/>
    <xf numFmtId="0" fontId="16" fillId="2" borderId="0" xfId="0" applyFont="1" applyFill="1" applyProtection="1">
      <protection locked="0"/>
    </xf>
    <xf numFmtId="14" fontId="16" fillId="0" borderId="0" xfId="0" applyNumberFormat="1" applyFont="1"/>
    <xf numFmtId="14" fontId="16" fillId="5" borderId="0" xfId="0" applyNumberFormat="1" applyFont="1" applyFill="1"/>
    <xf numFmtId="0" fontId="20" fillId="0" borderId="0" xfId="0" applyFont="1"/>
    <xf numFmtId="0" fontId="0" fillId="6" borderId="0" xfId="0" applyFill="1"/>
    <xf numFmtId="165" fontId="0" fillId="6" borderId="0" xfId="1" applyNumberFormat="1" applyFont="1" applyFill="1" applyBorder="1"/>
    <xf numFmtId="10" fontId="0" fillId="6" borderId="0" xfId="1" applyNumberFormat="1" applyFont="1" applyFill="1" applyBorder="1"/>
    <xf numFmtId="0" fontId="2" fillId="6" borderId="0" xfId="0" applyFont="1" applyFill="1"/>
    <xf numFmtId="167" fontId="4" fillId="3" borderId="0" xfId="2" applyNumberFormat="1" applyFont="1" applyFill="1" applyBorder="1"/>
    <xf numFmtId="1" fontId="3" fillId="0" borderId="9" xfId="0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165" fontId="24" fillId="6" borderId="0" xfId="1" applyNumberFormat="1" applyFont="1" applyFill="1" applyBorder="1" applyAlignment="1">
      <alignment horizontal="center" vertical="center"/>
    </xf>
    <xf numFmtId="3" fontId="25" fillId="6" borderId="0" xfId="3" applyNumberFormat="1" applyFont="1" applyFill="1"/>
    <xf numFmtId="0" fontId="27" fillId="0" borderId="0" xfId="0" applyFont="1" applyAlignment="1">
      <alignment horizontal="left" vertical="center"/>
    </xf>
    <xf numFmtId="0" fontId="21" fillId="0" borderId="0" xfId="0" applyFont="1"/>
    <xf numFmtId="0" fontId="26" fillId="6" borderId="0" xfId="0" applyFont="1" applyFill="1"/>
    <xf numFmtId="0" fontId="28" fillId="6" borderId="0" xfId="0" applyFont="1" applyFill="1"/>
    <xf numFmtId="0" fontId="2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9" fillId="6" borderId="0" xfId="0" applyFont="1" applyFill="1"/>
    <xf numFmtId="0" fontId="4" fillId="7" borderId="0" xfId="0" applyFont="1" applyFill="1" applyAlignment="1">
      <alignment wrapText="1"/>
    </xf>
    <xf numFmtId="0" fontId="30" fillId="6" borderId="0" xfId="0" applyFont="1" applyFill="1"/>
    <xf numFmtId="14" fontId="33" fillId="0" borderId="0" xfId="0" applyNumberFormat="1" applyFont="1"/>
    <xf numFmtId="14" fontId="34" fillId="0" borderId="0" xfId="0" applyNumberFormat="1" applyFont="1" applyAlignment="1">
      <alignment horizontal="center"/>
    </xf>
    <xf numFmtId="0" fontId="34" fillId="0" borderId="9" xfId="0" applyFont="1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center"/>
    </xf>
    <xf numFmtId="9" fontId="34" fillId="0" borderId="9" xfId="0" applyNumberFormat="1" applyFont="1" applyBorder="1" applyAlignment="1">
      <alignment horizontal="center"/>
    </xf>
    <xf numFmtId="0" fontId="34" fillId="0" borderId="0" xfId="0" applyFont="1"/>
    <xf numFmtId="0" fontId="38" fillId="0" borderId="0" xfId="0" applyFont="1" applyAlignment="1">
      <alignment horizontal="center"/>
    </xf>
    <xf numFmtId="2" fontId="40" fillId="0" borderId="9" xfId="0" applyNumberFormat="1" applyFont="1" applyBorder="1" applyAlignment="1">
      <alignment horizontal="center"/>
    </xf>
    <xf numFmtId="167" fontId="34" fillId="0" borderId="0" xfId="2" applyNumberFormat="1" applyFont="1"/>
    <xf numFmtId="165" fontId="34" fillId="0" borderId="0" xfId="1" applyNumberFormat="1" applyFont="1"/>
    <xf numFmtId="0" fontId="41" fillId="0" borderId="0" xfId="0" applyFont="1"/>
    <xf numFmtId="165" fontId="34" fillId="0" borderId="9" xfId="0" applyNumberFormat="1" applyFont="1" applyBorder="1"/>
    <xf numFmtId="0" fontId="42" fillId="6" borderId="0" xfId="0" applyFont="1" applyFill="1"/>
    <xf numFmtId="0" fontId="8" fillId="0" borderId="0" xfId="0" quotePrefix="1" applyFont="1" applyAlignment="1">
      <alignment horizontal="left"/>
    </xf>
    <xf numFmtId="2" fontId="40" fillId="0" borderId="0" xfId="0" applyNumberFormat="1" applyFont="1" applyAlignment="1">
      <alignment horizontal="center"/>
    </xf>
    <xf numFmtId="0" fontId="44" fillId="8" borderId="0" xfId="0" applyFont="1" applyFill="1"/>
    <xf numFmtId="0" fontId="0" fillId="8" borderId="0" xfId="0" applyFill="1"/>
    <xf numFmtId="0" fontId="3" fillId="8" borderId="0" xfId="0" applyFont="1" applyFill="1"/>
    <xf numFmtId="0" fontId="16" fillId="8" borderId="0" xfId="0" applyFont="1" applyFill="1" applyAlignment="1">
      <alignment horizontal="right"/>
    </xf>
    <xf numFmtId="0" fontId="16" fillId="8" borderId="0" xfId="0" applyFont="1" applyFill="1"/>
    <xf numFmtId="0" fontId="26" fillId="2" borderId="0" xfId="0" applyFont="1" applyFill="1" applyAlignment="1">
      <alignment horizontal="right"/>
    </xf>
    <xf numFmtId="0" fontId="20" fillId="0" borderId="0" xfId="0" applyFont="1" applyAlignment="1">
      <alignment horizontal="right" vertical="top"/>
    </xf>
    <xf numFmtId="0" fontId="46" fillId="0" borderId="0" xfId="0" applyFont="1"/>
    <xf numFmtId="0" fontId="45" fillId="2" borderId="0" xfId="0" applyFont="1" applyFill="1"/>
    <xf numFmtId="0" fontId="46" fillId="2" borderId="0" xfId="0" applyFont="1" applyFill="1"/>
    <xf numFmtId="14" fontId="46" fillId="0" borderId="0" xfId="0" applyNumberFormat="1" applyFont="1"/>
    <xf numFmtId="1" fontId="46" fillId="0" borderId="0" xfId="0" applyNumberFormat="1" applyFont="1"/>
    <xf numFmtId="17" fontId="46" fillId="2" borderId="0" xfId="0" applyNumberFormat="1" applyFont="1" applyFill="1"/>
    <xf numFmtId="0" fontId="45" fillId="0" borderId="0" xfId="0" applyFont="1"/>
    <xf numFmtId="0" fontId="45" fillId="0" borderId="1" xfId="0" applyFont="1" applyBorder="1"/>
    <xf numFmtId="0" fontId="46" fillId="2" borderId="2" xfId="0" applyFont="1" applyFill="1" applyBorder="1"/>
    <xf numFmtId="0" fontId="46" fillId="2" borderId="3" xfId="0" applyFont="1" applyFill="1" applyBorder="1"/>
    <xf numFmtId="0" fontId="46" fillId="0" borderId="2" xfId="0" applyFont="1" applyBorder="1"/>
    <xf numFmtId="0" fontId="46" fillId="0" borderId="3" xfId="0" applyFont="1" applyBorder="1"/>
    <xf numFmtId="0" fontId="45" fillId="0" borderId="4" xfId="0" applyFont="1" applyBorder="1"/>
    <xf numFmtId="0" fontId="46" fillId="0" borderId="5" xfId="0" applyFont="1" applyBorder="1"/>
    <xf numFmtId="166" fontId="46" fillId="0" borderId="5" xfId="0" applyNumberFormat="1" applyFont="1" applyBorder="1"/>
    <xf numFmtId="0" fontId="47" fillId="2" borderId="0" xfId="0" applyFont="1" applyFill="1"/>
    <xf numFmtId="0" fontId="46" fillId="2" borderId="5" xfId="0" applyFont="1" applyFill="1" applyBorder="1"/>
    <xf numFmtId="0" fontId="48" fillId="0" borderId="0" xfId="0" applyFont="1"/>
    <xf numFmtId="9" fontId="46" fillId="0" borderId="0" xfId="1" applyFont="1" applyFill="1"/>
    <xf numFmtId="0" fontId="46" fillId="0" borderId="0" xfId="0" quotePrefix="1" applyFont="1"/>
    <xf numFmtId="165" fontId="46" fillId="0" borderId="0" xfId="1" applyNumberFormat="1" applyFont="1" applyFill="1"/>
    <xf numFmtId="0" fontId="45" fillId="0" borderId="6" xfId="0" applyFont="1" applyBorder="1"/>
    <xf numFmtId="0" fontId="46" fillId="0" borderId="7" xfId="0" applyFont="1" applyBorder="1"/>
    <xf numFmtId="0" fontId="46" fillId="0" borderId="8" xfId="0" applyFont="1" applyBorder="1"/>
    <xf numFmtId="2" fontId="46" fillId="0" borderId="0" xfId="1" applyNumberFormat="1" applyFont="1" applyFill="1"/>
    <xf numFmtId="167" fontId="49" fillId="2" borderId="0" xfId="2" applyNumberFormat="1" applyFont="1" applyFill="1" applyBorder="1" applyAlignment="1">
      <alignment wrapText="1"/>
    </xf>
    <xf numFmtId="167" fontId="49" fillId="0" borderId="13" xfId="2" applyNumberFormat="1" applyFont="1" applyFill="1" applyBorder="1" applyAlignment="1">
      <alignment wrapText="1"/>
    </xf>
    <xf numFmtId="1" fontId="46" fillId="0" borderId="0" xfId="1" applyNumberFormat="1" applyFont="1" applyFill="1"/>
    <xf numFmtId="167" fontId="50" fillId="2" borderId="0" xfId="2" applyNumberFormat="1" applyFont="1" applyFill="1" applyBorder="1" applyAlignment="1">
      <alignment wrapText="1"/>
    </xf>
    <xf numFmtId="167" fontId="50" fillId="0" borderId="13" xfId="2" applyNumberFormat="1" applyFont="1" applyFill="1" applyBorder="1" applyAlignment="1">
      <alignment wrapText="1"/>
    </xf>
    <xf numFmtId="10" fontId="46" fillId="0" borderId="0" xfId="1" applyNumberFormat="1" applyFont="1" applyFill="1"/>
    <xf numFmtId="167" fontId="50" fillId="0" borderId="14" xfId="2" applyNumberFormat="1" applyFont="1" applyFill="1" applyBorder="1" applyAlignment="1">
      <alignment wrapText="1"/>
    </xf>
    <xf numFmtId="165" fontId="51" fillId="2" borderId="0" xfId="1" applyNumberFormat="1" applyFont="1" applyFill="1" applyBorder="1" applyAlignment="1">
      <alignment horizontal="center" vertical="center" wrapText="1"/>
    </xf>
    <xf numFmtId="167" fontId="49" fillId="0" borderId="14" xfId="2" applyNumberFormat="1" applyFont="1" applyFill="1" applyBorder="1" applyAlignment="1">
      <alignment wrapText="1"/>
    </xf>
    <xf numFmtId="167" fontId="49" fillId="2" borderId="0" xfId="2" applyNumberFormat="1" applyFont="1" applyFill="1" applyBorder="1" applyAlignment="1">
      <alignment horizontal="center" wrapText="1"/>
    </xf>
    <xf numFmtId="167" fontId="49" fillId="0" borderId="12" xfId="2" applyNumberFormat="1" applyFont="1" applyFill="1" applyBorder="1" applyAlignment="1">
      <alignment horizontal="center" wrapText="1"/>
    </xf>
    <xf numFmtId="165" fontId="52" fillId="0" borderId="15" xfId="1" applyNumberFormat="1" applyFont="1" applyFill="1" applyBorder="1" applyAlignment="1">
      <alignment horizontal="center" vertical="center"/>
    </xf>
    <xf numFmtId="10" fontId="46" fillId="0" borderId="0" xfId="0" applyNumberFormat="1" applyFont="1"/>
    <xf numFmtId="167" fontId="49" fillId="0" borderId="13" xfId="2" applyNumberFormat="1" applyFont="1" applyFill="1" applyBorder="1" applyAlignment="1">
      <alignment horizontal="center" wrapText="1"/>
    </xf>
    <xf numFmtId="165" fontId="52" fillId="0" borderId="16" xfId="1" applyNumberFormat="1" applyFont="1" applyFill="1" applyBorder="1" applyAlignment="1">
      <alignment horizontal="center" vertical="center"/>
    </xf>
    <xf numFmtId="167" fontId="49" fillId="2" borderId="18" xfId="2" applyNumberFormat="1" applyFont="1" applyFill="1" applyBorder="1" applyAlignment="1">
      <alignment horizontal="center" wrapText="1"/>
    </xf>
    <xf numFmtId="165" fontId="52" fillId="2" borderId="17" xfId="1" applyNumberFormat="1" applyFont="1" applyFill="1" applyBorder="1" applyAlignment="1">
      <alignment horizontal="center" vertical="center"/>
    </xf>
    <xf numFmtId="167" fontId="49" fillId="0" borderId="14" xfId="2" applyNumberFormat="1" applyFont="1" applyFill="1" applyBorder="1" applyAlignment="1">
      <alignment horizontal="center" wrapText="1"/>
    </xf>
    <xf numFmtId="165" fontId="52" fillId="0" borderId="17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4" fillId="2" borderId="0" xfId="0" applyFont="1" applyFill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Milliers" xfId="2" builtinId="3"/>
    <cellStyle name="Normal" xfId="0" builtinId="0"/>
    <cellStyle name="Normal 2" xfId="4" xr:uid="{00000000-0005-0000-0000-000002000000}"/>
    <cellStyle name="Normal_IC97-RAM" xfId="3" xr:uid="{00000000-0005-0000-0000-000006000000}"/>
    <cellStyle name="Pourcentage" xfId="1" builtinId="5"/>
  </cellStyles>
  <dxfs count="16"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CC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CC"/>
      </font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  <color rgb="FF0F3F93"/>
      <color rgb="FFFF33CC"/>
      <color rgb="FFCC0099"/>
      <color rgb="FF0000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93807</xdr:colOff>
      <xdr:row>4</xdr:row>
      <xdr:rowOff>142988</xdr:rowOff>
    </xdr:from>
    <xdr:to>
      <xdr:col>12</xdr:col>
      <xdr:colOff>304114</xdr:colOff>
      <xdr:row>12</xdr:row>
      <xdr:rowOff>121065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C637C-3121-47D4-B45B-AAB0119E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164" y="841488"/>
          <a:ext cx="1806879" cy="1574648"/>
        </a:xfrm>
        <a:prstGeom prst="rect">
          <a:avLst/>
        </a:prstGeom>
      </xdr:spPr>
    </xdr:pic>
    <xdr:clientData/>
  </xdr:twoCellAnchor>
  <xdr:twoCellAnchor editAs="oneCell">
    <xdr:from>
      <xdr:col>1</xdr:col>
      <xdr:colOff>1535906</xdr:colOff>
      <xdr:row>3</xdr:row>
      <xdr:rowOff>47626</xdr:rowOff>
    </xdr:from>
    <xdr:to>
      <xdr:col>1</xdr:col>
      <xdr:colOff>2063918</xdr:colOff>
      <xdr:row>5</xdr:row>
      <xdr:rowOff>107158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84331E0-02E5-4D27-94D1-4E7EF838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559595"/>
          <a:ext cx="524837" cy="46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4</xdr:row>
      <xdr:rowOff>66674</xdr:rowOff>
    </xdr:from>
    <xdr:to>
      <xdr:col>12</xdr:col>
      <xdr:colOff>162748</xdr:colOff>
      <xdr:row>14</xdr:row>
      <xdr:rowOff>60323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166686" y="939799"/>
          <a:ext cx="8624125" cy="1668462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139699</xdr:colOff>
      <xdr:row>40</xdr:row>
      <xdr:rowOff>73025</xdr:rowOff>
    </xdr:from>
    <xdr:to>
      <xdr:col>12</xdr:col>
      <xdr:colOff>135761</xdr:colOff>
      <xdr:row>52</xdr:row>
      <xdr:rowOff>63500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39699" y="7407275"/>
          <a:ext cx="8640000" cy="18478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169861</xdr:colOff>
      <xdr:row>15</xdr:row>
      <xdr:rowOff>71438</xdr:rowOff>
    </xdr:from>
    <xdr:to>
      <xdr:col>12</xdr:col>
      <xdr:colOff>165923</xdr:colOff>
      <xdr:row>18</xdr:row>
      <xdr:rowOff>23813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Arrowheads="1"/>
        </xdr:cNvSpPr>
      </xdr:nvSpPr>
      <xdr:spPr bwMode="auto">
        <a:xfrm>
          <a:off x="169861" y="2857501"/>
          <a:ext cx="8624125" cy="44450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146049</xdr:colOff>
      <xdr:row>20</xdr:row>
      <xdr:rowOff>85725</xdr:rowOff>
    </xdr:from>
    <xdr:to>
      <xdr:col>12</xdr:col>
      <xdr:colOff>142111</xdr:colOff>
      <xdr:row>37</xdr:row>
      <xdr:rowOff>139700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46049" y="3764756"/>
          <a:ext cx="8640000" cy="3113882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126999</xdr:colOff>
      <xdr:row>0</xdr:row>
      <xdr:rowOff>60076</xdr:rowOff>
    </xdr:from>
    <xdr:to>
      <xdr:col>1</xdr:col>
      <xdr:colOff>466725</xdr:colOff>
      <xdr:row>2</xdr:row>
      <xdr:rowOff>170043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EFED43-07F5-449F-8A0A-C15E1A4E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60076"/>
          <a:ext cx="587376" cy="519542"/>
        </a:xfrm>
        <a:prstGeom prst="rect">
          <a:avLst/>
        </a:prstGeom>
      </xdr:spPr>
    </xdr:pic>
    <xdr:clientData/>
  </xdr:twoCellAnchor>
  <xdr:twoCellAnchor>
    <xdr:from>
      <xdr:col>0</xdr:col>
      <xdr:colOff>174624</xdr:colOff>
      <xdr:row>31</xdr:row>
      <xdr:rowOff>120651</xdr:rowOff>
    </xdr:from>
    <xdr:to>
      <xdr:col>11</xdr:col>
      <xdr:colOff>266700</xdr:colOff>
      <xdr:row>35</xdr:row>
      <xdr:rowOff>63501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C0B76066-FE2C-482E-B114-3EC7BA1279EC}"/>
            </a:ext>
          </a:extLst>
        </xdr:cNvPr>
        <xdr:cNvSpPr>
          <a:spLocks noChangeArrowheads="1"/>
        </xdr:cNvSpPr>
      </xdr:nvSpPr>
      <xdr:spPr bwMode="auto">
        <a:xfrm>
          <a:off x="174624" y="5600701"/>
          <a:ext cx="8201026" cy="9080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9050">
          <a:solidFill>
            <a:srgbClr val="0F3F93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40</xdr:row>
      <xdr:rowOff>134788</xdr:rowOff>
    </xdr:from>
    <xdr:to>
      <xdr:col>13</xdr:col>
      <xdr:colOff>444501</xdr:colOff>
      <xdr:row>84</xdr:row>
      <xdr:rowOff>5003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DA2356-EC81-448B-ADE5-5E403990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807705"/>
          <a:ext cx="10265834" cy="778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635007</xdr:colOff>
      <xdr:row>2</xdr:row>
      <xdr:rowOff>163357</xdr:rowOff>
    </xdr:from>
    <xdr:to>
      <xdr:col>14</xdr:col>
      <xdr:colOff>391583</xdr:colOff>
      <xdr:row>38</xdr:row>
      <xdr:rowOff>112183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829E7C-F02D-364E-3BEF-45574D6A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7" y="523190"/>
          <a:ext cx="11017243" cy="690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57</xdr:row>
      <xdr:rowOff>84665</xdr:rowOff>
    </xdr:from>
    <xdr:to>
      <xdr:col>24</xdr:col>
      <xdr:colOff>555153</xdr:colOff>
      <xdr:row>119</xdr:row>
      <xdr:rowOff>21166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198128-09E8-4302-BBCB-48261D58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2" y="10985498"/>
          <a:ext cx="18398654" cy="1174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0</xdr:row>
      <xdr:rowOff>105833</xdr:rowOff>
    </xdr:from>
    <xdr:to>
      <xdr:col>24</xdr:col>
      <xdr:colOff>629586</xdr:colOff>
      <xdr:row>53</xdr:row>
      <xdr:rowOff>127000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5820B6-BA3C-1F62-D61A-EF31C11D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166" y="105833"/>
          <a:ext cx="17795753" cy="101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0"/>
  <sheetViews>
    <sheetView showGridLines="0" tabSelected="1" zoomScale="70" zoomScaleNormal="70" workbookViewId="0">
      <pane xSplit="3" ySplit="4" topLeftCell="D5" activePane="bottomRight" state="frozen"/>
      <selection activeCell="P38" sqref="P38"/>
      <selection pane="topRight" activeCell="P38" sqref="P38"/>
      <selection pane="bottomLeft" activeCell="P38" sqref="P38"/>
      <selection pane="bottomRight" activeCell="E17" sqref="E17"/>
    </sheetView>
  </sheetViews>
  <sheetFormatPr baseColWidth="10" defaultColWidth="11.453125" defaultRowHeight="15.5" x14ac:dyDescent="0.35"/>
  <cols>
    <col min="1" max="1" width="11.453125" style="2"/>
    <col min="2" max="2" width="60" style="2" customWidth="1"/>
    <col min="3" max="3" width="0.1796875" style="2" customWidth="1"/>
    <col min="4" max="4" width="12.26953125" style="2" customWidth="1"/>
    <col min="5" max="5" width="13.1796875" style="2" customWidth="1"/>
    <col min="6" max="6" width="6.81640625" style="2" customWidth="1"/>
    <col min="7" max="13" width="11.453125" style="2"/>
    <col min="14" max="14" width="20.54296875" style="2" customWidth="1"/>
    <col min="15" max="15" width="11.453125" style="2"/>
    <col min="16" max="16" width="15.26953125" style="2" bestFit="1" customWidth="1"/>
    <col min="17" max="16384" width="11.453125" style="2"/>
  </cols>
  <sheetData>
    <row r="1" spans="1:19" ht="18.5" customHeight="1" x14ac:dyDescent="0.45">
      <c r="B1" s="101" t="s">
        <v>103</v>
      </c>
      <c r="D1" s="151" t="s">
        <v>104</v>
      </c>
      <c r="E1" s="151"/>
      <c r="F1" s="151"/>
      <c r="G1" s="151"/>
      <c r="H1" s="151"/>
      <c r="I1" s="148" t="s">
        <v>130</v>
      </c>
      <c r="J1" s="148"/>
      <c r="K1" s="148"/>
      <c r="L1" s="148"/>
      <c r="M1" s="148"/>
      <c r="N1" s="148"/>
    </row>
    <row r="2" spans="1:19" x14ac:dyDescent="0.35">
      <c r="B2" s="66"/>
      <c r="D2" s="151"/>
      <c r="E2" s="151"/>
      <c r="F2" s="151"/>
      <c r="G2" s="151"/>
      <c r="H2" s="151"/>
      <c r="I2" s="148"/>
      <c r="J2" s="148"/>
      <c r="K2" s="148"/>
      <c r="L2" s="148"/>
      <c r="M2" s="148"/>
      <c r="N2" s="148"/>
    </row>
    <row r="3" spans="1:19" ht="5.25" customHeight="1" x14ac:dyDescent="0.35">
      <c r="A3" s="67"/>
      <c r="B3" s="68"/>
      <c r="C3" s="67"/>
      <c r="D3" s="78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9" x14ac:dyDescent="0.35">
      <c r="B4" s="2" t="s">
        <v>165</v>
      </c>
      <c r="E4" s="28" t="s">
        <v>105</v>
      </c>
      <c r="G4" s="29" t="s">
        <v>106</v>
      </c>
    </row>
    <row r="5" spans="1:19" x14ac:dyDescent="0.35">
      <c r="A5" s="18" t="s">
        <v>6</v>
      </c>
      <c r="B5" s="18"/>
      <c r="C5" s="18"/>
      <c r="D5" s="18"/>
      <c r="E5" s="30">
        <f ca="1">TODAY()</f>
        <v>46163</v>
      </c>
    </row>
    <row r="6" spans="1:19" x14ac:dyDescent="0.35">
      <c r="A6" s="18"/>
      <c r="B6" s="18"/>
      <c r="C6" s="18"/>
      <c r="D6" s="18"/>
      <c r="E6" s="57"/>
      <c r="G6" s="59" t="s">
        <v>166</v>
      </c>
    </row>
    <row r="7" spans="1:19" x14ac:dyDescent="0.35">
      <c r="A7" s="31" t="s">
        <v>39</v>
      </c>
      <c r="B7" s="31"/>
      <c r="C7" s="31"/>
      <c r="D7" s="31"/>
      <c r="E7" s="58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9" x14ac:dyDescent="0.35">
      <c r="A8" s="18"/>
      <c r="B8" s="18"/>
      <c r="C8" s="18"/>
      <c r="D8" s="18" t="s">
        <v>107</v>
      </c>
      <c r="E8" s="33" t="s">
        <v>80</v>
      </c>
    </row>
    <row r="9" spans="1:19" x14ac:dyDescent="0.35">
      <c r="A9" s="18"/>
      <c r="B9" s="18"/>
      <c r="C9" s="18"/>
      <c r="D9" s="18" t="s">
        <v>108</v>
      </c>
      <c r="E9" s="33" t="s">
        <v>79</v>
      </c>
    </row>
    <row r="10" spans="1:19" x14ac:dyDescent="0.35">
      <c r="A10" s="18"/>
      <c r="B10" s="18"/>
      <c r="C10" s="18"/>
      <c r="D10" s="17" t="s">
        <v>109</v>
      </c>
      <c r="E10" s="56" t="s">
        <v>77</v>
      </c>
    </row>
    <row r="11" spans="1:19" x14ac:dyDescent="0.35">
      <c r="A11" s="2" t="s">
        <v>110</v>
      </c>
      <c r="E11" s="34" t="s">
        <v>82</v>
      </c>
      <c r="R11" s="35" t="s">
        <v>41</v>
      </c>
      <c r="S11" s="35"/>
    </row>
    <row r="12" spans="1:19" x14ac:dyDescent="0.35">
      <c r="A12" s="2" t="s">
        <v>38</v>
      </c>
      <c r="D12" s="35" t="str">
        <f>G12</f>
        <v/>
      </c>
      <c r="E12" s="28">
        <v>7</v>
      </c>
      <c r="F12" s="36">
        <f>IF(G12="",1,0)</f>
        <v>1</v>
      </c>
      <c r="G12" s="150" t="str">
        <f>IF(AND((E11="Cadre"),(OR((E12&lt;4),(E12&gt;13)))),"Vous n'avez pas tapé un Grade valide",(IF(AND(OR((E11="Non-cadre"),(E11="ATAM")),(OR((E12&lt;1),(E12&gt;5)))),"Vous n'avez pas tapé un Grade valide",(IF(AND((E11="Cadre"),(AND((E12&lt;14),(E12&gt;10)))),"La direction ne nous fournit pas les éléments au dessus du grade 10","")))))</f>
        <v/>
      </c>
      <c r="H12" s="150"/>
      <c r="I12" s="150"/>
      <c r="J12" s="150"/>
      <c r="K12" s="150"/>
      <c r="L12" s="150"/>
      <c r="R12" s="35" t="s">
        <v>42</v>
      </c>
      <c r="S12" s="35"/>
    </row>
    <row r="13" spans="1:19" x14ac:dyDescent="0.35">
      <c r="B13" s="2" t="s">
        <v>111</v>
      </c>
      <c r="D13" s="2" t="str">
        <f>G13</f>
        <v/>
      </c>
      <c r="E13" s="157" t="s">
        <v>95</v>
      </c>
      <c r="F13" s="36">
        <f>IF(G13="",1,0)</f>
        <v>1</v>
      </c>
      <c r="G13" s="149" t="str">
        <f>IF(AND((E11="Cadre"),(OR((E13="A2"),(E13="B3"),(E13="B4"),(E13="C5"),(E13="C6"),(E13="D7"),(E13="D8"),(E13="E9"),(E13="E10")))),"Vous avez saisi une classification Non-cadre",(IF(OR(AND((OR((E13="A2"),(E13="B3"),(E13="B4"),(E13="C5"),(E13="C6"),(E13="D7"),(E13="D8"),(E13="E9"),(E13="E10")))),(E11="Cadre")),"","Vous avez saisi une classification cadre")))</f>
        <v/>
      </c>
      <c r="H13" s="149"/>
      <c r="I13" s="149"/>
      <c r="J13" s="149"/>
      <c r="R13" s="35" t="s">
        <v>43</v>
      </c>
      <c r="S13" s="35"/>
    </row>
    <row r="14" spans="1:19" ht="26" x14ac:dyDescent="0.35">
      <c r="B14" s="2" t="s">
        <v>112</v>
      </c>
      <c r="E14" s="28">
        <v>5500</v>
      </c>
      <c r="K14" s="71"/>
      <c r="R14" s="35" t="s">
        <v>44</v>
      </c>
      <c r="S14" s="35"/>
    </row>
    <row r="15" spans="1:19" ht="15" customHeight="1" x14ac:dyDescent="0.35">
      <c r="B15" s="102" t="s">
        <v>113</v>
      </c>
      <c r="J15" s="147" t="s">
        <v>45</v>
      </c>
      <c r="K15" s="147"/>
      <c r="L15" s="147"/>
      <c r="M15" s="147"/>
      <c r="N15" s="147"/>
      <c r="R15" s="35">
        <v>1</v>
      </c>
      <c r="S15" s="35"/>
    </row>
    <row r="16" spans="1:19" ht="15.75" customHeight="1" x14ac:dyDescent="0.35">
      <c r="B16" s="2" t="s">
        <v>114</v>
      </c>
      <c r="E16" s="37">
        <v>0.16</v>
      </c>
      <c r="R16" s="35">
        <v>2</v>
      </c>
      <c r="S16" s="35"/>
    </row>
    <row r="17" spans="1:19" ht="15.75" customHeight="1" x14ac:dyDescent="0.35">
      <c r="A17" s="2" t="s">
        <v>115</v>
      </c>
      <c r="E17" s="28">
        <v>7</v>
      </c>
      <c r="J17" s="147" t="s">
        <v>163</v>
      </c>
      <c r="K17" s="147"/>
      <c r="L17" s="147"/>
      <c r="M17" s="147"/>
      <c r="N17" s="147"/>
      <c r="R17" s="35">
        <v>3</v>
      </c>
      <c r="S17" s="35"/>
    </row>
    <row r="18" spans="1:19" ht="15" customHeight="1" x14ac:dyDescent="0.4">
      <c r="J18" s="147"/>
      <c r="K18" s="147"/>
      <c r="L18" s="147"/>
      <c r="M18" s="147"/>
      <c r="N18" s="147"/>
      <c r="O18" s="72"/>
      <c r="P18" s="72"/>
      <c r="Q18" s="72"/>
      <c r="R18" s="72"/>
      <c r="S18" s="35"/>
    </row>
    <row r="19" spans="1:19" ht="15.75" customHeight="1" x14ac:dyDescent="0.4">
      <c r="A19" s="2" t="str">
        <f ca="1">IF(D19&lt;&gt;"",CONCATENATE("Performance Evaluation received in ",D19," at the annual review for ",D19-1),"")</f>
        <v>Performance Evaluation received in 2026 at the annual review for 2025</v>
      </c>
      <c r="D19" s="38">
        <f ca="1">YEAR(E5)</f>
        <v>2026</v>
      </c>
      <c r="E19" s="28" t="s">
        <v>118</v>
      </c>
      <c r="J19" s="147"/>
      <c r="K19" s="147"/>
      <c r="L19" s="147"/>
      <c r="M19" s="147"/>
      <c r="N19" s="147"/>
      <c r="O19" s="72"/>
      <c r="P19" s="72"/>
      <c r="Q19" s="72"/>
      <c r="R19" s="72"/>
      <c r="S19" s="35"/>
    </row>
    <row r="20" spans="1:19" x14ac:dyDescent="0.35">
      <c r="A20" s="18"/>
    </row>
    <row r="21" spans="1:19" x14ac:dyDescent="0.35">
      <c r="A21" s="18"/>
    </row>
    <row r="22" spans="1:19" x14ac:dyDescent="0.35">
      <c r="A22" s="18"/>
    </row>
    <row r="23" spans="1:19" x14ac:dyDescent="0.35">
      <c r="A23" s="31" t="s">
        <v>117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9" x14ac:dyDescent="0.35">
      <c r="D24" s="2" t="s">
        <v>164</v>
      </c>
      <c r="F24" s="39" t="str">
        <f>IF(E19&lt;&gt;0,E19,"")</f>
        <v>Consistent</v>
      </c>
      <c r="G24" s="39"/>
    </row>
    <row r="26" spans="1:19" x14ac:dyDescent="0.35">
      <c r="B26" s="19" t="s">
        <v>116</v>
      </c>
      <c r="C26" s="18"/>
      <c r="D26" s="18"/>
      <c r="E26" s="55">
        <f>ROUND((E14*12*(1+E16))/1000,1)</f>
        <v>76.599999999999994</v>
      </c>
      <c r="F26" s="18" t="s">
        <v>26</v>
      </c>
    </row>
    <row r="27" spans="1:19" ht="16" thickBot="1" x14ac:dyDescent="0.4"/>
    <row r="28" spans="1:19" x14ac:dyDescent="0.35">
      <c r="A28" s="40" t="s">
        <v>121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</row>
    <row r="29" spans="1:19" x14ac:dyDescent="0.35">
      <c r="A29" s="43"/>
      <c r="B29" s="2" t="s">
        <v>122</v>
      </c>
      <c r="E29" s="29">
        <f>IF(E11="Non-cadre",VLOOKUP(E12,Données!M24:N36,2,FALSE),VLOOKUP(E12,Données!M39:N48,2,FALSE))</f>
        <v>79</v>
      </c>
      <c r="F29" s="2" t="s">
        <v>26</v>
      </c>
      <c r="O29" s="44"/>
    </row>
    <row r="30" spans="1:19" x14ac:dyDescent="0.35">
      <c r="A30" s="43"/>
      <c r="O30" s="44"/>
    </row>
    <row r="31" spans="1:19" x14ac:dyDescent="0.35">
      <c r="A31" s="43"/>
      <c r="B31" s="2" t="s">
        <v>124</v>
      </c>
      <c r="E31" s="45">
        <f>-ROUND((E29-E26)/E29,3)</f>
        <v>-0.03</v>
      </c>
      <c r="G31" s="2" t="str">
        <f>IF(E31&lt;-0.1,"the difference("&amp;ROUND(E31*100,1)&amp;"%) between your Pay and the Market Pay for your Job justifies a pay rise",IF(E31&lt;0,"Your Pay is lower than the Market Pay for your Job by "&amp;ROUND(E31*100,1)&amp;"%","Your Pay is higher than the Market Pay for your Job"))</f>
        <v>Your Pay is lower than the Market Pay for your Job by -3%</v>
      </c>
      <c r="O31" s="44"/>
    </row>
    <row r="32" spans="1:19" ht="16" thickBot="1" x14ac:dyDescent="0.4">
      <c r="A32" s="46"/>
      <c r="B32" s="47" t="s">
        <v>123</v>
      </c>
      <c r="C32" s="47"/>
      <c r="D32" s="47"/>
      <c r="E32" s="48">
        <f>ROUND(1+E31,2)</f>
        <v>0.97</v>
      </c>
      <c r="F32" s="49"/>
      <c r="G32" s="50" t="s">
        <v>131</v>
      </c>
      <c r="H32" s="49"/>
      <c r="I32" s="49"/>
      <c r="J32" s="49"/>
      <c r="K32" s="49"/>
      <c r="L32" s="49"/>
      <c r="M32" s="49"/>
      <c r="N32" s="49"/>
      <c r="O32" s="51"/>
    </row>
    <row r="33" spans="1:15" ht="16" thickBot="1" x14ac:dyDescent="0.4"/>
    <row r="34" spans="1:15" x14ac:dyDescent="0.35">
      <c r="A34" s="40" t="s">
        <v>125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</row>
    <row r="35" spans="1:15" x14ac:dyDescent="0.35">
      <c r="A35" s="43"/>
      <c r="B35" s="2" t="s">
        <v>126</v>
      </c>
      <c r="E35" s="64">
        <f>IF(E11="Non-cadre",VLOOKUP(E13,Données!I57:K75,2,FALSE),(IF(E11="Non-cadre",VLOOKUP(E13,Données!I57:K75,3,FALSE),(IF(E11="Cadre",VLOOKUP(E13,Données!I57:K75,2,FALSE),FALSE)))))</f>
        <v>5322</v>
      </c>
      <c r="F35" s="2" t="s">
        <v>62</v>
      </c>
      <c r="O35" s="44"/>
    </row>
    <row r="36" spans="1:15" x14ac:dyDescent="0.35">
      <c r="A36" s="43"/>
      <c r="B36" s="2" t="s">
        <v>127</v>
      </c>
      <c r="E36" s="45">
        <f>IF(E11="Cadre",VLOOKUP(E13,Données!I57:K75,3,),0)</f>
        <v>0.14099999999999999</v>
      </c>
      <c r="O36" s="44"/>
    </row>
    <row r="37" spans="1:15" x14ac:dyDescent="0.35">
      <c r="A37" s="43"/>
      <c r="B37" s="2" t="s">
        <v>128</v>
      </c>
      <c r="E37" s="52">
        <f>E35*12*(1+E36)/1000</f>
        <v>72.868824000000004</v>
      </c>
      <c r="F37" s="2" t="s">
        <v>64</v>
      </c>
      <c r="O37" s="44"/>
    </row>
    <row r="38" spans="1:15" x14ac:dyDescent="0.35">
      <c r="A38" s="43"/>
      <c r="O38" s="44"/>
    </row>
    <row r="39" spans="1:15" ht="16" thickBot="1" x14ac:dyDescent="0.4">
      <c r="A39" s="46"/>
      <c r="B39" s="49" t="s">
        <v>129</v>
      </c>
      <c r="C39" s="49"/>
      <c r="D39" s="49"/>
      <c r="E39" s="53">
        <f>ROUND(E26/E37-1,3)</f>
        <v>5.0999999999999997E-2</v>
      </c>
      <c r="F39" s="49"/>
      <c r="G39" s="49" t="str">
        <f>IF(E39&lt;0,"Your pay is lower than the average pay of SEI-SEF employees with the same classification by "&amp;ROUND(E39*100,1)&amp;"%","Your pay is upper than the average pay of SEI-SEF employees with the same classification")</f>
        <v>Your pay is upper than the average pay of SEI-SEF employees with the same classification</v>
      </c>
      <c r="H39" s="49"/>
      <c r="I39" s="49"/>
      <c r="J39" s="49"/>
      <c r="K39" s="49"/>
      <c r="L39" s="49"/>
      <c r="M39" s="49"/>
      <c r="N39" s="49"/>
      <c r="O39" s="51"/>
    </row>
    <row r="46" spans="1:15" x14ac:dyDescent="0.35">
      <c r="K46" s="54"/>
    </row>
    <row r="47" spans="1:15" x14ac:dyDescent="0.35">
      <c r="K47" s="54"/>
    </row>
    <row r="48" spans="1:15" x14ac:dyDescent="0.35">
      <c r="K48" s="54"/>
    </row>
    <row r="49" spans="11:11" x14ac:dyDescent="0.35">
      <c r="K49" s="54"/>
    </row>
    <row r="50" spans="11:11" x14ac:dyDescent="0.35">
      <c r="K50" s="54"/>
    </row>
  </sheetData>
  <sheetProtection algorithmName="SHA-512" hashValue="iDTkgqXLorKXJo9cb49qLG1IdBddXmAE0lm1j5QXB5H3th6fC7cr2faooxUgYMG00FhooJC9S2VOPpzaA6d+zg==" saltValue="yEtL0TGBXkCo4SRe7Im7wA==" spinCount="100000" sheet="1" selectLockedCells="1"/>
  <mergeCells count="7">
    <mergeCell ref="J19:N19"/>
    <mergeCell ref="J15:N15"/>
    <mergeCell ref="I1:N2"/>
    <mergeCell ref="G13:J13"/>
    <mergeCell ref="G12:L12"/>
    <mergeCell ref="J17:N18"/>
    <mergeCell ref="D1:H2"/>
  </mergeCells>
  <conditionalFormatting sqref="D12">
    <cfRule type="notContainsBlanks" dxfId="15" priority="11">
      <formula>LEN(TRIM(D12))&gt;0</formula>
    </cfRule>
  </conditionalFormatting>
  <conditionalFormatting sqref="D13">
    <cfRule type="containsText" dxfId="14" priority="5" operator="containsText" text="Vous">
      <formula>NOT(ISERROR(SEARCH("Vous",D13)))</formula>
    </cfRule>
  </conditionalFormatting>
  <conditionalFormatting sqref="E31 E39">
    <cfRule type="cellIs" dxfId="13" priority="25" operator="lessThan">
      <formula>0</formula>
    </cfRule>
  </conditionalFormatting>
  <conditionalFormatting sqref="F12">
    <cfRule type="iconSet" priority="9">
      <iconSet iconSet="3Symbols2">
        <cfvo type="percent" val="0"/>
        <cfvo type="num" val="0.5"/>
        <cfvo type="num" val="1"/>
      </iconSet>
    </cfRule>
  </conditionalFormatting>
  <conditionalFormatting sqref="F13">
    <cfRule type="iconSet" priority="8">
      <iconSet iconSet="3Symbols2">
        <cfvo type="percent" val="0"/>
        <cfvo type="num" val="0.5"/>
        <cfvo type="num" val="1"/>
      </iconSet>
    </cfRule>
  </conditionalFormatting>
  <conditionalFormatting sqref="G31">
    <cfRule type="expression" dxfId="10" priority="4">
      <formula>$E$31&lt;-0.1</formula>
    </cfRule>
    <cfRule type="expression" dxfId="9" priority="20">
      <formula>E31&gt;0</formula>
    </cfRule>
    <cfRule type="expression" dxfId="8" priority="22">
      <formula>$E$31&lt;0</formula>
    </cfRule>
  </conditionalFormatting>
  <conditionalFormatting sqref="G39">
    <cfRule type="expression" dxfId="7" priority="16">
      <formula>E39&gt;0</formula>
    </cfRule>
    <cfRule type="expression" dxfId="6" priority="17">
      <formula>$E$39&lt;0</formula>
    </cfRule>
  </conditionalFormatting>
  <conditionalFormatting sqref="G12">
    <cfRule type="containsText" dxfId="1" priority="2" operator="containsText" text="valide">
      <formula>NOT(ISERROR(SEARCH("valide",G12)))</formula>
    </cfRule>
  </conditionalFormatting>
  <conditionalFormatting sqref="G13">
    <cfRule type="containsText" dxfId="0" priority="1" operator="containsText" text="Vous">
      <formula>NOT(ISERROR(SEARCH("Vous",G13)))</formula>
    </cfRule>
  </conditionalFormatting>
  <dataValidations xWindow="722" yWindow="610" count="5">
    <dataValidation type="whole" allowBlank="1" showInputMessage="1" showErrorMessage="1" sqref="E17" xr:uid="{00000000-0002-0000-0000-000000000000}">
      <formula1>0</formula1>
      <formula2>45</formula2>
    </dataValidation>
    <dataValidation type="date" allowBlank="1" showInputMessage="1" showErrorMessage="1" prompt="entrer une date au format jj/mm/aaaa" sqref="E5" xr:uid="{00000000-0002-0000-0000-000002000000}">
      <formula1>42370</formula1>
      <formula2>47484</formula2>
    </dataValidation>
    <dataValidation type="list" allowBlank="1" showInputMessage="1" showErrorMessage="1" sqref="M7:M10" xr:uid="{00000000-0002-0000-0000-000003000000}">
      <formula1>$R$11:$R$14</formula1>
    </dataValidation>
    <dataValidation type="whole" allowBlank="1" showInputMessage="1" showErrorMessage="1" sqref="E20:E23" xr:uid="{00000000-0002-0000-0000-000004000000}">
      <formula1>1</formula1>
      <formula2>5</formula2>
    </dataValidation>
    <dataValidation type="whole" allowBlank="1" showInputMessage="1" showErrorMessage="1" prompt="entrer votre grade entre 1 et 5 pour les &quot;Non-Cadres&quot; et entre 4 et 10 pour les &quot;Cadres&quot;" sqref="E12" xr:uid="{EDAD1330-D453-4927-A06C-505FC09E8F61}">
      <formula1>1</formula1>
      <formula2>13</formula2>
    </dataValidation>
  </dataValidations>
  <pageMargins left="0.11811023622047245" right="0.11811023622047245" top="0.35433070866141736" bottom="0" header="0" footer="0"/>
  <pageSetup scale="51" orientation="landscape" r:id="rId1"/>
  <headerFooter>
    <oddFooter>&amp;C&amp;1#&amp;"Arial"&amp;6&amp;K626469Internal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22" yWindow="610" count="2">
        <x14:dataValidation type="list" allowBlank="1" showInputMessage="1" showErrorMessage="1" xr:uid="{00000000-0002-0000-0000-000007000000}">
          <x14:formula1>
            <xm:f>Données!$I$9:$I$17</xm:f>
          </x14:formula1>
          <xm:sqref>E19</xm:sqref>
        </x14:dataValidation>
        <x14:dataValidation type="list" allowBlank="1" showInputMessage="1" showErrorMessage="1" xr:uid="{00000000-0002-0000-0000-000006000000}">
          <x14:formula1>
            <xm:f>Données!$J$4:$J$5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0"/>
  <sheetViews>
    <sheetView zoomScale="70" zoomScaleNormal="70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C19" sqref="C19"/>
    </sheetView>
  </sheetViews>
  <sheetFormatPr baseColWidth="10" defaultColWidth="11.453125" defaultRowHeight="14.5" x14ac:dyDescent="0.35"/>
  <cols>
    <col min="1" max="1" width="11.453125" style="103"/>
    <col min="2" max="2" width="35.54296875" style="103" customWidth="1"/>
    <col min="3" max="13" width="11.453125" style="103"/>
    <col min="14" max="14" width="15.1796875" style="103" customWidth="1"/>
    <col min="15" max="16384" width="11.453125" style="103"/>
  </cols>
  <sheetData>
    <row r="1" spans="1:14" x14ac:dyDescent="0.35">
      <c r="B1" s="103" t="s">
        <v>21</v>
      </c>
      <c r="E1" s="103" t="s">
        <v>20</v>
      </c>
      <c r="I1" s="104" t="s">
        <v>76</v>
      </c>
      <c r="J1" s="105"/>
      <c r="K1" s="105"/>
      <c r="L1" s="105"/>
    </row>
    <row r="3" spans="1:14" x14ac:dyDescent="0.35">
      <c r="A3" s="103" t="s">
        <v>6</v>
      </c>
      <c r="E3" s="106">
        <v>42463</v>
      </c>
      <c r="N3" s="103">
        <f>0.4*140</f>
        <v>56</v>
      </c>
    </row>
    <row r="4" spans="1:14" x14ac:dyDescent="0.35">
      <c r="A4" s="103" t="s">
        <v>1</v>
      </c>
      <c r="E4" s="103" t="s">
        <v>3</v>
      </c>
      <c r="G4" s="103" t="s">
        <v>0</v>
      </c>
      <c r="J4" s="105" t="s">
        <v>82</v>
      </c>
      <c r="N4" s="103">
        <f>82.22*0.3</f>
        <v>24.666</v>
      </c>
    </row>
    <row r="5" spans="1:14" x14ac:dyDescent="0.35">
      <c r="A5" s="103" t="s">
        <v>2</v>
      </c>
      <c r="E5" s="103">
        <v>8</v>
      </c>
      <c r="J5" s="105" t="s">
        <v>83</v>
      </c>
      <c r="N5" s="103">
        <v>42</v>
      </c>
    </row>
    <row r="6" spans="1:14" x14ac:dyDescent="0.35">
      <c r="A6" s="103" t="s">
        <v>4</v>
      </c>
      <c r="E6" s="103">
        <v>6</v>
      </c>
      <c r="N6" s="103" t="e">
        <f>1.11*#REF!</f>
        <v>#REF!</v>
      </c>
    </row>
    <row r="8" spans="1:14" x14ac:dyDescent="0.35">
      <c r="A8" s="103" t="s">
        <v>5</v>
      </c>
      <c r="B8" s="103" t="s">
        <v>68</v>
      </c>
      <c r="D8" s="107">
        <f>YEAR(E3)</f>
        <v>2016</v>
      </c>
      <c r="E8" s="103">
        <v>2</v>
      </c>
      <c r="I8" s="105" t="s">
        <v>40</v>
      </c>
    </row>
    <row r="9" spans="1:14" x14ac:dyDescent="0.35">
      <c r="C9" s="103">
        <v>1</v>
      </c>
      <c r="D9" s="103">
        <f>IF($E$6&gt;C9,D8-1,"")</f>
        <v>2015</v>
      </c>
      <c r="E9" s="103">
        <v>3</v>
      </c>
      <c r="I9" s="105" t="s">
        <v>120</v>
      </c>
    </row>
    <row r="10" spans="1:14" x14ac:dyDescent="0.35">
      <c r="C10" s="103">
        <v>2</v>
      </c>
      <c r="D10" s="103">
        <f t="shared" ref="D10:D17" si="0">IF($E$6&gt;C10,D9-1,"")</f>
        <v>2014</v>
      </c>
      <c r="E10" s="103">
        <v>4</v>
      </c>
      <c r="I10" s="105" t="s">
        <v>118</v>
      </c>
    </row>
    <row r="11" spans="1:14" x14ac:dyDescent="0.35">
      <c r="C11" s="103">
        <v>3</v>
      </c>
      <c r="D11" s="103">
        <f t="shared" si="0"/>
        <v>2013</v>
      </c>
      <c r="E11" s="103">
        <v>3</v>
      </c>
      <c r="I11" s="105" t="s">
        <v>119</v>
      </c>
    </row>
    <row r="12" spans="1:14" x14ac:dyDescent="0.35">
      <c r="C12" s="103">
        <v>4</v>
      </c>
      <c r="D12" s="103">
        <f t="shared" si="0"/>
        <v>2012</v>
      </c>
      <c r="E12" s="103">
        <v>3</v>
      </c>
    </row>
    <row r="13" spans="1:14" x14ac:dyDescent="0.35">
      <c r="C13" s="103">
        <v>5</v>
      </c>
      <c r="D13" s="103">
        <f t="shared" si="0"/>
        <v>2011</v>
      </c>
      <c r="E13" s="103">
        <v>3</v>
      </c>
    </row>
    <row r="14" spans="1:14" x14ac:dyDescent="0.35">
      <c r="C14" s="103">
        <v>6</v>
      </c>
      <c r="D14" s="103" t="str">
        <f t="shared" si="0"/>
        <v/>
      </c>
    </row>
    <row r="15" spans="1:14" x14ac:dyDescent="0.35">
      <c r="C15" s="103">
        <v>7</v>
      </c>
      <c r="D15" s="103" t="str">
        <f t="shared" si="0"/>
        <v/>
      </c>
    </row>
    <row r="16" spans="1:14" x14ac:dyDescent="0.35">
      <c r="C16" s="103">
        <v>8</v>
      </c>
      <c r="D16" s="103" t="str">
        <f t="shared" si="0"/>
        <v/>
      </c>
    </row>
    <row r="17" spans="1:22" x14ac:dyDescent="0.35">
      <c r="C17" s="103">
        <v>9</v>
      </c>
      <c r="D17" s="103" t="str">
        <f t="shared" si="0"/>
        <v/>
      </c>
    </row>
    <row r="18" spans="1:22" x14ac:dyDescent="0.35">
      <c r="E18" s="103" t="s">
        <v>7</v>
      </c>
      <c r="F18" s="103">
        <f>SUM(E8:E17)/E6</f>
        <v>3</v>
      </c>
      <c r="T18" s="103" t="s">
        <v>71</v>
      </c>
    </row>
    <row r="21" spans="1:22" x14ac:dyDescent="0.35">
      <c r="M21" s="108">
        <v>45078</v>
      </c>
      <c r="T21" s="103" t="s">
        <v>72</v>
      </c>
    </row>
    <row r="22" spans="1:22" ht="15" thickBot="1" x14ac:dyDescent="0.4">
      <c r="C22" s="10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J22" s="103" t="s">
        <v>11</v>
      </c>
    </row>
    <row r="23" spans="1:22" x14ac:dyDescent="0.35">
      <c r="I23" s="103" t="s">
        <v>10</v>
      </c>
      <c r="J23" s="103" t="s">
        <v>12</v>
      </c>
      <c r="K23" s="103" t="s">
        <v>14</v>
      </c>
      <c r="L23" s="103" t="s">
        <v>15</v>
      </c>
      <c r="M23" s="110" t="s">
        <v>63</v>
      </c>
      <c r="N23" s="111" t="s">
        <v>70</v>
      </c>
      <c r="O23" s="112" t="s">
        <v>75</v>
      </c>
      <c r="T23" s="110" t="s">
        <v>63</v>
      </c>
      <c r="U23" s="113" t="s">
        <v>70</v>
      </c>
      <c r="V23" s="114" t="s">
        <v>16</v>
      </c>
    </row>
    <row r="24" spans="1:22" x14ac:dyDescent="0.35">
      <c r="A24" s="103" t="s">
        <v>8</v>
      </c>
      <c r="B24" s="103" t="s">
        <v>9</v>
      </c>
      <c r="E24" s="103">
        <v>255</v>
      </c>
      <c r="G24" s="103">
        <v>6</v>
      </c>
      <c r="H24" s="103" t="s">
        <v>93</v>
      </c>
      <c r="I24" s="103">
        <v>1</v>
      </c>
      <c r="J24" s="103" t="s">
        <v>10</v>
      </c>
      <c r="K24" s="105">
        <v>23.4</v>
      </c>
      <c r="L24" s="105">
        <v>35.200000000000003</v>
      </c>
      <c r="M24" s="115">
        <v>1</v>
      </c>
      <c r="N24" s="105">
        <f>+(K24+L24)/2</f>
        <v>29.3</v>
      </c>
      <c r="O24" s="105" t="s">
        <v>78</v>
      </c>
      <c r="T24" s="115">
        <v>6</v>
      </c>
      <c r="U24" s="103">
        <v>22</v>
      </c>
      <c r="V24" s="116">
        <v>23</v>
      </c>
    </row>
    <row r="25" spans="1:22" x14ac:dyDescent="0.35">
      <c r="G25" s="103">
        <v>7</v>
      </c>
      <c r="H25" s="103" t="s">
        <v>92</v>
      </c>
      <c r="I25" s="103">
        <v>2</v>
      </c>
      <c r="J25" s="103" t="s">
        <v>13</v>
      </c>
      <c r="K25" s="105">
        <v>25.8</v>
      </c>
      <c r="L25" s="105">
        <v>38.799999999999997</v>
      </c>
      <c r="M25" s="115">
        <v>2</v>
      </c>
      <c r="N25" s="105">
        <f t="shared" ref="N25:N28" si="1">+(K25+L25)/2</f>
        <v>32.299999999999997</v>
      </c>
      <c r="O25" s="105"/>
      <c r="T25" s="115">
        <v>7</v>
      </c>
      <c r="U25" s="103">
        <v>23</v>
      </c>
      <c r="V25" s="117">
        <v>23.5</v>
      </c>
    </row>
    <row r="26" spans="1:22" x14ac:dyDescent="0.35">
      <c r="G26" s="103">
        <v>8</v>
      </c>
      <c r="H26" s="103" t="s">
        <v>91</v>
      </c>
      <c r="I26" s="103">
        <v>3</v>
      </c>
      <c r="K26" s="105">
        <v>29.8</v>
      </c>
      <c r="L26" s="105">
        <v>44.8</v>
      </c>
      <c r="M26" s="115">
        <v>3</v>
      </c>
      <c r="N26" s="105">
        <f t="shared" si="1"/>
        <v>37.299999999999997</v>
      </c>
      <c r="O26" s="118">
        <v>24.3</v>
      </c>
      <c r="T26" s="115">
        <v>8</v>
      </c>
      <c r="U26" s="103">
        <v>24</v>
      </c>
      <c r="V26" s="116">
        <v>24.5</v>
      </c>
    </row>
    <row r="27" spans="1:22" x14ac:dyDescent="0.35">
      <c r="B27" s="103" t="s">
        <v>17</v>
      </c>
      <c r="E27" s="103">
        <v>8</v>
      </c>
      <c r="G27" s="103">
        <v>9</v>
      </c>
      <c r="H27" s="103" t="s">
        <v>90</v>
      </c>
      <c r="I27" s="103">
        <v>4</v>
      </c>
      <c r="K27" s="105">
        <v>34.5</v>
      </c>
      <c r="L27" s="105">
        <v>51.7</v>
      </c>
      <c r="M27" s="115">
        <v>4</v>
      </c>
      <c r="N27" s="105">
        <f t="shared" si="1"/>
        <v>43.1</v>
      </c>
      <c r="O27" s="118">
        <v>25.7</v>
      </c>
      <c r="T27" s="115">
        <v>9</v>
      </c>
      <c r="U27" s="103">
        <v>25</v>
      </c>
      <c r="V27" s="116">
        <v>25.5</v>
      </c>
    </row>
    <row r="28" spans="1:22" x14ac:dyDescent="0.35">
      <c r="G28" s="103">
        <v>10</v>
      </c>
      <c r="H28" s="103" t="s">
        <v>89</v>
      </c>
      <c r="I28" s="103">
        <v>5</v>
      </c>
      <c r="K28" s="105">
        <v>38.4</v>
      </c>
      <c r="L28" s="105">
        <v>57.6</v>
      </c>
      <c r="M28" s="115">
        <v>5</v>
      </c>
      <c r="N28" s="105">
        <f t="shared" si="1"/>
        <v>48</v>
      </c>
      <c r="O28" s="118">
        <v>27</v>
      </c>
      <c r="T28" s="115">
        <v>10</v>
      </c>
      <c r="U28" s="103">
        <v>26.5</v>
      </c>
      <c r="V28" s="116">
        <v>26.5</v>
      </c>
    </row>
    <row r="29" spans="1:22" x14ac:dyDescent="0.35">
      <c r="B29" s="103" t="s">
        <v>18</v>
      </c>
      <c r="G29" s="103">
        <v>11</v>
      </c>
      <c r="H29" s="103" t="s">
        <v>88</v>
      </c>
      <c r="K29" s="105"/>
      <c r="L29" s="105"/>
      <c r="M29" s="115"/>
      <c r="N29" s="105"/>
      <c r="O29" s="118"/>
      <c r="T29" s="115">
        <v>11</v>
      </c>
      <c r="U29" s="103">
        <v>28</v>
      </c>
      <c r="V29" s="116">
        <v>28</v>
      </c>
    </row>
    <row r="30" spans="1:22" x14ac:dyDescent="0.35">
      <c r="E30" s="109" t="str">
        <f>IF(E27&gt;=6,IF(E29&gt;=4,"ATTENTION vous avez rempli un grade et un groupe de poste",""),"")</f>
        <v/>
      </c>
      <c r="G30" s="103">
        <v>12</v>
      </c>
      <c r="H30" s="103" t="s">
        <v>87</v>
      </c>
      <c r="K30" s="105"/>
      <c r="L30" s="105"/>
      <c r="M30" s="115"/>
      <c r="N30" s="105"/>
      <c r="O30" s="118"/>
      <c r="T30" s="115">
        <v>12</v>
      </c>
      <c r="U30" s="103">
        <v>29</v>
      </c>
      <c r="V30" s="116">
        <v>29.5</v>
      </c>
    </row>
    <row r="31" spans="1:22" x14ac:dyDescent="0.35">
      <c r="G31" s="103">
        <v>13</v>
      </c>
      <c r="H31" s="103" t="s">
        <v>86</v>
      </c>
      <c r="K31" s="105"/>
      <c r="L31" s="105"/>
      <c r="M31" s="115"/>
      <c r="N31" s="105"/>
      <c r="O31" s="118"/>
      <c r="T31" s="115">
        <v>13</v>
      </c>
      <c r="U31" s="103">
        <v>31</v>
      </c>
      <c r="V31" s="116">
        <v>32</v>
      </c>
    </row>
    <row r="32" spans="1:22" x14ac:dyDescent="0.35">
      <c r="B32" s="10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G32" s="103">
        <v>14</v>
      </c>
      <c r="H32" s="103" t="s">
        <v>85</v>
      </c>
      <c r="K32" s="105"/>
      <c r="L32" s="105"/>
      <c r="M32" s="115"/>
      <c r="N32" s="105"/>
      <c r="O32" s="118"/>
      <c r="T32" s="115">
        <v>14</v>
      </c>
      <c r="U32" s="103">
        <v>33</v>
      </c>
      <c r="V32" s="116">
        <v>34</v>
      </c>
    </row>
    <row r="33" spans="2:22" x14ac:dyDescent="0.35">
      <c r="G33" s="103">
        <v>15</v>
      </c>
      <c r="H33" s="103" t="s">
        <v>84</v>
      </c>
      <c r="K33" s="105"/>
      <c r="L33" s="105"/>
      <c r="M33" s="115"/>
      <c r="N33" s="105"/>
      <c r="O33" s="118"/>
      <c r="T33" s="115">
        <v>15</v>
      </c>
      <c r="U33" s="103">
        <v>35</v>
      </c>
      <c r="V33" s="116">
        <v>37.5</v>
      </c>
    </row>
    <row r="34" spans="2:22" x14ac:dyDescent="0.35">
      <c r="B34" s="103" t="s">
        <v>19</v>
      </c>
      <c r="D34" s="103" t="str">
        <f>IF(E27&gt;=6,VLOOKUP(E27,G24:H36,2,FALSE),VLOOKUP(E29,G37:H41,2,TRUE))</f>
        <v>B3</v>
      </c>
      <c r="G34" s="103">
        <v>16</v>
      </c>
      <c r="H34" s="103" t="s">
        <v>94</v>
      </c>
      <c r="K34" s="105"/>
      <c r="L34" s="105"/>
      <c r="M34" s="115"/>
      <c r="N34" s="105"/>
      <c r="O34" s="118"/>
      <c r="T34" s="115">
        <v>16</v>
      </c>
      <c r="U34" s="103">
        <v>38.5</v>
      </c>
      <c r="V34" s="116">
        <v>40</v>
      </c>
    </row>
    <row r="35" spans="2:22" x14ac:dyDescent="0.35">
      <c r="G35" s="103">
        <v>17</v>
      </c>
      <c r="H35" s="103" t="s">
        <v>95</v>
      </c>
      <c r="K35" s="105"/>
      <c r="L35" s="105"/>
      <c r="M35" s="115"/>
      <c r="N35" s="105"/>
      <c r="O35" s="118"/>
      <c r="T35" s="115">
        <v>17</v>
      </c>
      <c r="U35" s="103">
        <v>42.5</v>
      </c>
      <c r="V35" s="116">
        <v>46</v>
      </c>
    </row>
    <row r="36" spans="2:22" x14ac:dyDescent="0.35">
      <c r="G36" s="103">
        <v>18</v>
      </c>
      <c r="H36" s="103" t="s">
        <v>96</v>
      </c>
      <c r="K36" s="105"/>
      <c r="L36" s="105"/>
      <c r="M36" s="115"/>
      <c r="N36" s="105"/>
      <c r="O36" s="118"/>
      <c r="T36" s="115">
        <v>18</v>
      </c>
      <c r="U36" s="103">
        <v>49.5</v>
      </c>
      <c r="V36" s="116">
        <v>51</v>
      </c>
    </row>
    <row r="37" spans="2:22" x14ac:dyDescent="0.35">
      <c r="H37" s="103" t="s">
        <v>97</v>
      </c>
      <c r="K37" s="105"/>
      <c r="L37" s="105"/>
      <c r="N37" s="105"/>
      <c r="O37" s="119"/>
    </row>
    <row r="38" spans="2:22" x14ac:dyDescent="0.35">
      <c r="G38" s="103">
        <v>5</v>
      </c>
      <c r="H38" s="103" t="s">
        <v>98</v>
      </c>
      <c r="K38" s="105"/>
      <c r="L38" s="105"/>
      <c r="N38" s="105"/>
      <c r="O38" s="119"/>
    </row>
    <row r="39" spans="2:22" x14ac:dyDescent="0.35">
      <c r="B39" s="103" t="s">
        <v>22</v>
      </c>
      <c r="E39" s="103">
        <v>2000</v>
      </c>
      <c r="G39" s="103">
        <v>7</v>
      </c>
      <c r="H39" s="103" t="s">
        <v>99</v>
      </c>
      <c r="I39" s="103">
        <v>7</v>
      </c>
      <c r="K39" s="105">
        <v>38.4</v>
      </c>
      <c r="L39" s="105">
        <v>57.6</v>
      </c>
      <c r="M39" s="115">
        <v>4</v>
      </c>
      <c r="N39" s="105">
        <f t="shared" ref="N39:N45" si="2">+(K39+L39)/2</f>
        <v>48</v>
      </c>
      <c r="O39" s="116">
        <v>45</v>
      </c>
      <c r="T39" s="115">
        <v>4</v>
      </c>
      <c r="U39" s="103">
        <v>42</v>
      </c>
      <c r="V39" s="116">
        <v>45</v>
      </c>
    </row>
    <row r="40" spans="2:22" x14ac:dyDescent="0.35">
      <c r="B40" s="120" t="s">
        <v>24</v>
      </c>
      <c r="G40" s="103">
        <v>9</v>
      </c>
      <c r="H40" s="103" t="s">
        <v>100</v>
      </c>
      <c r="I40" s="103">
        <v>9</v>
      </c>
      <c r="K40" s="105">
        <v>43.2</v>
      </c>
      <c r="L40" s="105">
        <v>64.8</v>
      </c>
      <c r="M40" s="115">
        <v>5</v>
      </c>
      <c r="N40" s="105">
        <f t="shared" si="2"/>
        <v>54</v>
      </c>
      <c r="O40" s="116">
        <v>47.9</v>
      </c>
      <c r="T40" s="115">
        <v>5</v>
      </c>
      <c r="U40" s="103">
        <v>48</v>
      </c>
      <c r="V40" s="116">
        <v>49</v>
      </c>
    </row>
    <row r="41" spans="2:22" x14ac:dyDescent="0.35">
      <c r="B41" s="103" t="s">
        <v>23</v>
      </c>
      <c r="E41" s="121">
        <v>0.1</v>
      </c>
      <c r="G41" s="103">
        <v>10</v>
      </c>
      <c r="H41" s="103" t="s">
        <v>101</v>
      </c>
      <c r="I41" s="103">
        <v>10</v>
      </c>
      <c r="K41" s="105">
        <v>51.7</v>
      </c>
      <c r="L41" s="105">
        <v>77.5</v>
      </c>
      <c r="M41" s="115">
        <v>6</v>
      </c>
      <c r="N41" s="105">
        <f t="shared" si="2"/>
        <v>64.599999999999994</v>
      </c>
      <c r="O41" s="116">
        <v>54.8</v>
      </c>
      <c r="T41" s="115">
        <v>6</v>
      </c>
      <c r="U41" s="103">
        <v>54</v>
      </c>
      <c r="V41" s="116">
        <v>54</v>
      </c>
    </row>
    <row r="42" spans="2:22" x14ac:dyDescent="0.35">
      <c r="K42" s="105">
        <v>63.2</v>
      </c>
      <c r="L42" s="105">
        <v>94.8</v>
      </c>
      <c r="M42" s="115">
        <v>7</v>
      </c>
      <c r="N42" s="105">
        <f t="shared" si="2"/>
        <v>79</v>
      </c>
      <c r="O42" s="116">
        <v>64.5</v>
      </c>
      <c r="T42" s="115">
        <v>7</v>
      </c>
      <c r="U42" s="103">
        <v>64</v>
      </c>
      <c r="V42" s="116">
        <v>62</v>
      </c>
    </row>
    <row r="43" spans="2:22" x14ac:dyDescent="0.35">
      <c r="B43" s="122" t="s">
        <v>25</v>
      </c>
      <c r="E43" s="103">
        <f>(E39*12*(1+E41))/1000</f>
        <v>26.400000000000002</v>
      </c>
      <c r="F43" s="103" t="s">
        <v>26</v>
      </c>
      <c r="K43" s="105">
        <v>78.400000000000006</v>
      </c>
      <c r="L43" s="105">
        <v>117.6</v>
      </c>
      <c r="M43" s="115">
        <v>8</v>
      </c>
      <c r="N43" s="105">
        <f t="shared" si="2"/>
        <v>98</v>
      </c>
      <c r="O43" s="116">
        <v>75</v>
      </c>
      <c r="T43" s="115">
        <v>8</v>
      </c>
      <c r="U43" s="103">
        <v>76.5</v>
      </c>
      <c r="V43" s="116">
        <v>73</v>
      </c>
    </row>
    <row r="44" spans="2:22" x14ac:dyDescent="0.35">
      <c r="K44" s="105">
        <v>96.5</v>
      </c>
      <c r="L44" s="105">
        <v>144.69999999999999</v>
      </c>
      <c r="M44" s="115">
        <v>9</v>
      </c>
      <c r="N44" s="105">
        <f t="shared" si="2"/>
        <v>120.6</v>
      </c>
      <c r="O44" s="116">
        <v>94</v>
      </c>
      <c r="T44" s="115">
        <v>9</v>
      </c>
      <c r="U44" s="103">
        <v>96.5</v>
      </c>
      <c r="V44" s="116">
        <v>91</v>
      </c>
    </row>
    <row r="45" spans="2:22" x14ac:dyDescent="0.35">
      <c r="K45" s="105">
        <v>119.7</v>
      </c>
      <c r="L45" s="105">
        <v>179.5</v>
      </c>
      <c r="M45" s="115">
        <v>10</v>
      </c>
      <c r="N45" s="105">
        <f t="shared" si="2"/>
        <v>149.6</v>
      </c>
      <c r="O45" s="116">
        <v>124</v>
      </c>
      <c r="T45" s="115">
        <v>10</v>
      </c>
      <c r="U45" s="103">
        <v>124.5</v>
      </c>
      <c r="V45" s="116">
        <v>117</v>
      </c>
    </row>
    <row r="46" spans="2:22" x14ac:dyDescent="0.35">
      <c r="B46" s="103" t="s">
        <v>29</v>
      </c>
      <c r="E46" s="103" t="e">
        <f>IF(E27&gt;=6,VLOOKUP(E27,M24:N36,2,FALSE),VLOOKUP(E29,M39:N48,2,FALSE))</f>
        <v>#N/A</v>
      </c>
      <c r="F46" s="103" t="s">
        <v>26</v>
      </c>
      <c r="M46" s="115">
        <v>11</v>
      </c>
      <c r="N46" s="105"/>
      <c r="O46" s="119"/>
    </row>
    <row r="47" spans="2:22" x14ac:dyDescent="0.35">
      <c r="M47" s="115">
        <v>12</v>
      </c>
      <c r="N47" s="105"/>
      <c r="O47" s="119"/>
    </row>
    <row r="48" spans="2:22" ht="15" thickBot="1" x14ac:dyDescent="0.4">
      <c r="B48" s="103" t="s">
        <v>27</v>
      </c>
      <c r="E48" s="123" t="e">
        <f>-(E46-E43)/E46</f>
        <v>#N/A</v>
      </c>
      <c r="M48" s="124">
        <v>13</v>
      </c>
      <c r="N48" s="125"/>
      <c r="O48" s="126"/>
    </row>
    <row r="49" spans="2:23" x14ac:dyDescent="0.35">
      <c r="B49" s="103" t="s">
        <v>37</v>
      </c>
      <c r="E49" s="127" t="e">
        <f>1+E48</f>
        <v>#N/A</v>
      </c>
    </row>
    <row r="51" spans="2:23" x14ac:dyDescent="0.35">
      <c r="B51" s="103" t="s">
        <v>30</v>
      </c>
      <c r="E51" s="103" t="e">
        <f>IF(E27&gt;=6,VLOOKUP(E27,M24:O36,3,FALSE),VLOOKUP(E29,M39:O48,3,FALSE))</f>
        <v>#N/A</v>
      </c>
      <c r="F51" s="103" t="s">
        <v>26</v>
      </c>
    </row>
    <row r="52" spans="2:23" x14ac:dyDescent="0.35">
      <c r="B52" s="109"/>
    </row>
    <row r="53" spans="2:23" x14ac:dyDescent="0.35">
      <c r="B53" s="103" t="s">
        <v>28</v>
      </c>
      <c r="E53" s="123" t="e">
        <f>-(E51-E43)/E51</f>
        <v>#N/A</v>
      </c>
      <c r="I53" s="104" t="s">
        <v>81</v>
      </c>
      <c r="J53" s="105"/>
    </row>
    <row r="55" spans="2:23" x14ac:dyDescent="0.35">
      <c r="I55" s="103" t="s">
        <v>102</v>
      </c>
      <c r="R55" s="103" t="s">
        <v>73</v>
      </c>
      <c r="V55" s="103" t="s">
        <v>65</v>
      </c>
    </row>
    <row r="56" spans="2:23" x14ac:dyDescent="0.35">
      <c r="J56" s="105" t="s">
        <v>83</v>
      </c>
      <c r="K56" s="105" t="s">
        <v>83</v>
      </c>
      <c r="L56" s="103" t="s">
        <v>74</v>
      </c>
      <c r="R56" s="103" t="s">
        <v>31</v>
      </c>
      <c r="S56" s="103" t="s">
        <v>3</v>
      </c>
      <c r="V56" s="103" t="s">
        <v>31</v>
      </c>
      <c r="W56" s="103" t="s">
        <v>3</v>
      </c>
    </row>
    <row r="57" spans="2:23" x14ac:dyDescent="0.35">
      <c r="B57" s="103" t="s">
        <v>32</v>
      </c>
      <c r="I57" s="103">
        <v>155</v>
      </c>
      <c r="J57" s="105">
        <v>2073</v>
      </c>
      <c r="K57" s="105"/>
      <c r="L57" s="103">
        <v>17</v>
      </c>
      <c r="R57" s="103">
        <v>1875</v>
      </c>
      <c r="V57" s="103">
        <v>1909</v>
      </c>
    </row>
    <row r="58" spans="2:23" x14ac:dyDescent="0.35">
      <c r="I58" s="103">
        <v>170</v>
      </c>
      <c r="J58" s="105"/>
      <c r="K58" s="105"/>
      <c r="M58" s="103">
        <v>2</v>
      </c>
    </row>
    <row r="59" spans="2:23" x14ac:dyDescent="0.35">
      <c r="B59" s="103" t="s">
        <v>35</v>
      </c>
      <c r="E59" s="103" t="e">
        <f>IF(E4="Ouvrier",VLOOKUP(E24,I57:K75,2,FALSE),(IF(E4="ATAM",VLOOKUP(E24,I57:K75,3,FALSE),(IF(E4="IC",VLOOKUP(E24,I57:K75,2,FALSE),FALSE)))))</f>
        <v>#N/A</v>
      </c>
      <c r="I59" s="103" t="s">
        <v>93</v>
      </c>
      <c r="J59" s="105"/>
      <c r="K59" s="105"/>
      <c r="L59" s="103">
        <v>427</v>
      </c>
      <c r="M59" s="103">
        <v>1</v>
      </c>
      <c r="R59" s="103">
        <v>1951</v>
      </c>
      <c r="V59" s="103">
        <v>1935</v>
      </c>
    </row>
    <row r="60" spans="2:23" x14ac:dyDescent="0.35">
      <c r="B60" s="103" t="s">
        <v>34</v>
      </c>
      <c r="E60" s="123">
        <f>IF(E4="IC",VLOOKUP(E24,I57:K75,3,),0)</f>
        <v>0</v>
      </c>
      <c r="I60" s="103" t="s">
        <v>92</v>
      </c>
      <c r="J60" s="105">
        <v>2607</v>
      </c>
      <c r="K60" s="128">
        <v>2579</v>
      </c>
      <c r="L60" s="103">
        <v>474</v>
      </c>
      <c r="M60" s="103">
        <v>7</v>
      </c>
      <c r="R60" s="103">
        <v>2091</v>
      </c>
      <c r="S60" s="129">
        <v>2322</v>
      </c>
      <c r="V60" s="103">
        <v>2071</v>
      </c>
      <c r="W60" s="103">
        <v>2239</v>
      </c>
    </row>
    <row r="61" spans="2:23" x14ac:dyDescent="0.35">
      <c r="B61" s="103" t="s">
        <v>36</v>
      </c>
      <c r="E61" s="130" t="e">
        <f>E59*12*(1+E60)/1000</f>
        <v>#N/A</v>
      </c>
      <c r="F61" s="103" t="s">
        <v>26</v>
      </c>
      <c r="I61" s="103" t="s">
        <v>91</v>
      </c>
      <c r="J61" s="105">
        <v>2308</v>
      </c>
      <c r="K61" s="105">
        <v>2305</v>
      </c>
    </row>
    <row r="62" spans="2:23" x14ac:dyDescent="0.35">
      <c r="B62" s="103" t="s">
        <v>33</v>
      </c>
      <c r="I62" s="103" t="s">
        <v>90</v>
      </c>
      <c r="J62" s="131">
        <v>2582</v>
      </c>
      <c r="K62" s="128">
        <v>2559</v>
      </c>
      <c r="L62" s="103">
        <v>487</v>
      </c>
      <c r="M62" s="103">
        <v>17</v>
      </c>
      <c r="R62" s="132">
        <v>2195</v>
      </c>
      <c r="S62" s="129">
        <v>2320</v>
      </c>
      <c r="V62" s="103">
        <v>2183</v>
      </c>
      <c r="W62" s="103">
        <v>2249</v>
      </c>
    </row>
    <row r="63" spans="2:23" x14ac:dyDescent="0.35">
      <c r="E63" s="133" t="e">
        <f>E43/E61-1</f>
        <v>#N/A</v>
      </c>
      <c r="I63" s="103" t="s">
        <v>89</v>
      </c>
      <c r="J63" s="131">
        <v>2611</v>
      </c>
      <c r="K63" s="128">
        <v>2625</v>
      </c>
      <c r="L63" s="103">
        <v>274</v>
      </c>
      <c r="M63" s="103">
        <v>35</v>
      </c>
      <c r="R63" s="132">
        <v>2306.5990035587188</v>
      </c>
      <c r="S63" s="129">
        <v>2378.8536111111107</v>
      </c>
      <c r="V63" s="103">
        <v>2293</v>
      </c>
      <c r="W63" s="103">
        <v>2404</v>
      </c>
    </row>
    <row r="64" spans="2:23" x14ac:dyDescent="0.35">
      <c r="I64" s="103" t="s">
        <v>88</v>
      </c>
      <c r="J64" s="131">
        <v>2812</v>
      </c>
      <c r="K64" s="128">
        <v>2766</v>
      </c>
      <c r="L64" s="103">
        <v>138</v>
      </c>
      <c r="M64" s="103">
        <v>89</v>
      </c>
      <c r="R64" s="132">
        <v>2455.7666666666673</v>
      </c>
      <c r="S64" s="129">
        <v>2570.8583168316832</v>
      </c>
      <c r="V64" s="103">
        <v>2421</v>
      </c>
      <c r="W64" s="103">
        <v>2526</v>
      </c>
    </row>
    <row r="65" spans="9:23" x14ac:dyDescent="0.35">
      <c r="I65" s="103" t="s">
        <v>87</v>
      </c>
      <c r="J65" s="131">
        <v>3163</v>
      </c>
      <c r="K65" s="128">
        <v>3112</v>
      </c>
      <c r="L65" s="103">
        <v>70</v>
      </c>
      <c r="M65" s="103">
        <v>211</v>
      </c>
      <c r="R65" s="132">
        <v>2465.8578571428575</v>
      </c>
      <c r="S65" s="129">
        <v>2667.9648728813572</v>
      </c>
      <c r="V65" s="103">
        <v>2449</v>
      </c>
      <c r="W65" s="103">
        <v>2653</v>
      </c>
    </row>
    <row r="66" spans="9:23" ht="15" thickBot="1" x14ac:dyDescent="0.4">
      <c r="I66" s="103" t="s">
        <v>86</v>
      </c>
      <c r="J66" s="131">
        <v>3328</v>
      </c>
      <c r="K66" s="128">
        <v>3300</v>
      </c>
      <c r="L66" s="103">
        <v>84</v>
      </c>
      <c r="M66" s="103">
        <v>654</v>
      </c>
      <c r="R66" s="134">
        <v>2579.764891304349</v>
      </c>
      <c r="S66" s="129">
        <v>2773.3101788375538</v>
      </c>
      <c r="V66" s="103">
        <v>2559</v>
      </c>
      <c r="W66" s="103">
        <v>2767</v>
      </c>
    </row>
    <row r="67" spans="9:23" x14ac:dyDescent="0.35">
      <c r="I67" s="103" t="s">
        <v>85</v>
      </c>
      <c r="J67" s="105">
        <v>3528</v>
      </c>
      <c r="K67" s="128">
        <v>3377</v>
      </c>
      <c r="M67" s="103">
        <v>739</v>
      </c>
      <c r="S67" s="129">
        <v>3075.1499074074077</v>
      </c>
      <c r="W67" s="103">
        <v>3081</v>
      </c>
    </row>
    <row r="68" spans="9:23" x14ac:dyDescent="0.35">
      <c r="I68" s="103" t="s">
        <v>84</v>
      </c>
      <c r="J68" s="105">
        <v>3779</v>
      </c>
      <c r="K68" s="128">
        <v>3743</v>
      </c>
      <c r="M68" s="103">
        <v>706</v>
      </c>
      <c r="S68" s="129">
        <v>3435.3222991689813</v>
      </c>
      <c r="W68" s="103">
        <v>3412</v>
      </c>
    </row>
    <row r="69" spans="9:23" ht="18.5" x14ac:dyDescent="0.35">
      <c r="I69" s="103" t="s">
        <v>94</v>
      </c>
      <c r="J69" s="105">
        <v>4517</v>
      </c>
      <c r="K69" s="135">
        <v>6.6000000000000003E-2</v>
      </c>
      <c r="M69" s="103">
        <v>429</v>
      </c>
      <c r="S69" s="129">
        <v>3884.6698564593285</v>
      </c>
      <c r="W69" s="103">
        <v>3847</v>
      </c>
    </row>
    <row r="70" spans="9:23" ht="19" thickBot="1" x14ac:dyDescent="0.4">
      <c r="I70" s="103" t="s">
        <v>95</v>
      </c>
      <c r="J70" s="105">
        <v>5322</v>
      </c>
      <c r="K70" s="135">
        <v>0.14099999999999999</v>
      </c>
      <c r="L70" s="103" t="s">
        <v>66</v>
      </c>
      <c r="M70" s="103">
        <v>94</v>
      </c>
      <c r="S70" s="136">
        <v>4258.2650649350635</v>
      </c>
      <c r="T70" s="103" t="s">
        <v>66</v>
      </c>
      <c r="W70" s="103">
        <v>4288</v>
      </c>
    </row>
    <row r="71" spans="9:23" ht="18.5" x14ac:dyDescent="0.35">
      <c r="I71" s="103" t="s">
        <v>96</v>
      </c>
      <c r="J71" s="137">
        <v>7013</v>
      </c>
      <c r="K71" s="135">
        <v>0.158</v>
      </c>
      <c r="L71" s="103">
        <v>204</v>
      </c>
      <c r="R71" s="138">
        <v>3192.7460576923086</v>
      </c>
      <c r="S71" s="139">
        <v>5.0999999999999997E-2</v>
      </c>
      <c r="T71" s="103">
        <v>130</v>
      </c>
      <c r="V71" s="103">
        <v>3100</v>
      </c>
      <c r="W71" s="140">
        <v>0.04</v>
      </c>
    </row>
    <row r="72" spans="9:23" ht="18.5" x14ac:dyDescent="0.35">
      <c r="I72" s="103" t="s">
        <v>97</v>
      </c>
      <c r="J72" s="137">
        <v>9046</v>
      </c>
      <c r="K72" s="135">
        <v>0.23599999999999999</v>
      </c>
      <c r="L72" s="103">
        <v>6055</v>
      </c>
      <c r="R72" s="141">
        <v>4358.1243976565374</v>
      </c>
      <c r="S72" s="142">
        <v>9.0999999999999998E-2</v>
      </c>
      <c r="T72" s="103">
        <v>2512</v>
      </c>
      <c r="V72" s="103">
        <v>4269</v>
      </c>
      <c r="W72" s="140">
        <v>8.2000000000000003E-2</v>
      </c>
    </row>
    <row r="73" spans="9:23" ht="18.5" x14ac:dyDescent="0.35">
      <c r="I73" s="103" t="s">
        <v>98</v>
      </c>
      <c r="J73" s="137">
        <v>11691</v>
      </c>
      <c r="K73" s="135">
        <v>0.28499999999999998</v>
      </c>
      <c r="L73" s="103">
        <v>3689</v>
      </c>
      <c r="R73" s="141">
        <v>5839.8804073660704</v>
      </c>
      <c r="S73" s="142">
        <v>0.13500000000000001</v>
      </c>
      <c r="T73" s="103">
        <v>1757</v>
      </c>
      <c r="V73" s="103">
        <v>5626</v>
      </c>
      <c r="W73" s="140">
        <v>0.12</v>
      </c>
    </row>
    <row r="74" spans="9:23" ht="18.5" x14ac:dyDescent="0.35">
      <c r="I74" s="103" t="s">
        <v>99</v>
      </c>
      <c r="J74" s="137">
        <v>13753</v>
      </c>
      <c r="K74" s="135">
        <v>0.36499999999999999</v>
      </c>
      <c r="L74" s="103">
        <v>1428</v>
      </c>
      <c r="R74" s="141">
        <v>7794.6525879397041</v>
      </c>
      <c r="S74" s="142">
        <v>0.19</v>
      </c>
      <c r="T74" s="103">
        <v>816</v>
      </c>
      <c r="V74" s="103">
        <v>7427</v>
      </c>
      <c r="W74" s="140">
        <v>0.17</v>
      </c>
    </row>
    <row r="75" spans="9:23" ht="15" thickBot="1" x14ac:dyDescent="0.4">
      <c r="I75" s="103" t="s">
        <v>100</v>
      </c>
      <c r="J75" s="143">
        <v>20210</v>
      </c>
      <c r="K75" s="144">
        <v>0.46200000000000002</v>
      </c>
      <c r="L75" s="103">
        <v>476</v>
      </c>
      <c r="R75" s="145">
        <v>12115.445090909085</v>
      </c>
      <c r="S75" s="146">
        <v>0.29899999999999999</v>
      </c>
      <c r="T75" s="103">
        <v>297</v>
      </c>
      <c r="V75" s="103">
        <v>11452</v>
      </c>
      <c r="W75" s="140">
        <v>0.27100000000000002</v>
      </c>
    </row>
    <row r="76" spans="9:23" x14ac:dyDescent="0.35">
      <c r="I76" s="103" t="s">
        <v>92</v>
      </c>
    </row>
    <row r="77" spans="9:23" x14ac:dyDescent="0.35">
      <c r="I77" s="103" t="s">
        <v>91</v>
      </c>
      <c r="K77" s="103" t="s">
        <v>67</v>
      </c>
    </row>
    <row r="78" spans="9:23" x14ac:dyDescent="0.35">
      <c r="I78" s="103" t="s">
        <v>90</v>
      </c>
    </row>
    <row r="79" spans="9:23" x14ac:dyDescent="0.35">
      <c r="I79" s="103" t="s">
        <v>89</v>
      </c>
    </row>
    <row r="80" spans="9:23" x14ac:dyDescent="0.35">
      <c r="I80" s="103" t="s">
        <v>88</v>
      </c>
    </row>
    <row r="81" spans="9:9" x14ac:dyDescent="0.35">
      <c r="I81" s="103" t="s">
        <v>87</v>
      </c>
    </row>
    <row r="82" spans="9:9" x14ac:dyDescent="0.35">
      <c r="I82" s="103" t="s">
        <v>86</v>
      </c>
    </row>
    <row r="83" spans="9:9" x14ac:dyDescent="0.35">
      <c r="I83" s="103" t="s">
        <v>85</v>
      </c>
    </row>
    <row r="84" spans="9:9" x14ac:dyDescent="0.35">
      <c r="I84" s="103" t="s">
        <v>84</v>
      </c>
    </row>
    <row r="85" spans="9:9" x14ac:dyDescent="0.35">
      <c r="I85" s="103" t="s">
        <v>94</v>
      </c>
    </row>
    <row r="86" spans="9:9" x14ac:dyDescent="0.35">
      <c r="I86" s="103" t="s">
        <v>95</v>
      </c>
    </row>
    <row r="87" spans="9:9" x14ac:dyDescent="0.35">
      <c r="I87" s="103" t="s">
        <v>96</v>
      </c>
    </row>
    <row r="88" spans="9:9" x14ac:dyDescent="0.35">
      <c r="I88" s="103" t="s">
        <v>97</v>
      </c>
    </row>
    <row r="89" spans="9:9" x14ac:dyDescent="0.35">
      <c r="I89" s="103" t="s">
        <v>98</v>
      </c>
    </row>
    <row r="90" spans="9:9" x14ac:dyDescent="0.35">
      <c r="I90" s="103" t="s">
        <v>99</v>
      </c>
    </row>
  </sheetData>
  <sheetProtection algorithmName="SHA-512" hashValue="loKo1O/mC9ii1GjW09SppfB11S4hkOGuErXP4VjWPRV69W4VYaMYzhpE/nPbj91Aj19WPugGAhM/Radg7R0odQ==" saltValue="r1Bht6Zfsfva0QeF1pcaww==" spinCount="100000" sheet="1" selectLockedCells="1"/>
  <conditionalFormatting sqref="E63">
    <cfRule type="cellIs" dxfId="5" priority="1" operator="lessThan">
      <formula>0</formula>
    </cfRule>
  </conditionalFormatting>
  <dataValidations count="8">
    <dataValidation type="list" allowBlank="1" showInputMessage="1" showErrorMessage="1" sqref="E29" xr:uid="{00000000-0002-0000-0100-000000000000}">
      <formula1>$M$39:$M$48</formula1>
    </dataValidation>
    <dataValidation type="list" allowBlank="1" showInputMessage="1" showErrorMessage="1" sqref="E27" xr:uid="{00000000-0002-0000-0100-000001000000}">
      <formula1>$I$24:$I$36</formula1>
    </dataValidation>
    <dataValidation type="whole" allowBlank="1" showInputMessage="1" showErrorMessage="1" sqref="E8:E17" xr:uid="{00000000-0002-0000-0100-000003000000}">
      <formula1>1</formula1>
      <formula2>5</formula2>
    </dataValidation>
    <dataValidation type="whole" allowBlank="1" showInputMessage="1" showErrorMessage="1" prompt="nombre d'évaluation" sqref="E6" xr:uid="{00000000-0002-0000-0100-000004000000}">
      <formula1>0</formula1>
      <formula2>40</formula2>
    </dataValidation>
    <dataValidation type="date" allowBlank="1" showInputMessage="1" showErrorMessage="1" prompt="entrer une date au format dd/mm/aaaa" sqref="E3" xr:uid="{00000000-0002-0000-0100-000005000000}">
      <formula1>42370</formula1>
      <formula2>47484</formula2>
    </dataValidation>
    <dataValidation type="whole" allowBlank="1" showInputMessage="1" showErrorMessage="1" prompt="entrer le groupe de poste entre 6 et 18 pour les OATAM et entre 4 et 10 pour les IC" sqref="E5" xr:uid="{00000000-0002-0000-0100-000007000000}">
      <formula1>4</formula1>
      <formula2>18</formula2>
    </dataValidation>
    <dataValidation type="list" allowBlank="1" showInputMessage="1" showErrorMessage="1" sqref="E4" xr:uid="{00000000-0002-0000-0100-000006000000}">
      <formula1>$J$4:$J$5</formula1>
    </dataValidation>
    <dataValidation type="list" allowBlank="1" showInputMessage="1" showErrorMessage="1" prompt="OATAM : notez votre coefficient entre 155 et 395,_x000a_Ingénieur et cadre notez votre classification entre 1 et 3A_x000a_Choisissez dans la liste déroulante" sqref="E24" xr:uid="{00000000-0002-0000-0100-000002000000}">
      <formula1>$H$24:$H$41</formula1>
    </dataValidation>
  </dataValidations>
  <pageMargins left="0.7" right="0.7" top="0.75" bottom="0.75" header="0.3" footer="0.3"/>
  <pageSetup orientation="portrait" r:id="rId1"/>
  <headerFooter>
    <oddFooter>&amp;C&amp;1#&amp;"Arial"&amp;6&amp;K626469Internal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B1:O51"/>
  <sheetViews>
    <sheetView showGridLines="0" topLeftCell="A19" zoomScale="80" zoomScaleNormal="80" workbookViewId="0">
      <selection activeCell="Q40" sqref="Q40"/>
    </sheetView>
  </sheetViews>
  <sheetFormatPr baseColWidth="10" defaultRowHeight="14.5" x14ac:dyDescent="0.35"/>
  <cols>
    <col min="1" max="1" width="3.54296875" customWidth="1"/>
    <col min="5" max="5" width="16.26953125" customWidth="1"/>
    <col min="6" max="6" width="8.26953125" customWidth="1"/>
    <col min="8" max="8" width="18" customWidth="1"/>
    <col min="9" max="9" width="5.453125" customWidth="1"/>
    <col min="10" max="10" width="7.453125" customWidth="1"/>
    <col min="11" max="11" width="13.453125" customWidth="1"/>
    <col min="12" max="12" width="7.453125" customWidth="1"/>
    <col min="13" max="13" width="3.1796875" customWidth="1"/>
  </cols>
  <sheetData>
    <row r="1" spans="2:15" ht="11.25" customHeight="1" x14ac:dyDescent="0.35"/>
    <row r="2" spans="2:15" ht="21" x14ac:dyDescent="0.5">
      <c r="B2" s="153" t="s">
        <v>132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27"/>
      <c r="N2" s="27"/>
      <c r="O2" s="27"/>
    </row>
    <row r="3" spans="2:15" ht="17.5" x14ac:dyDescent="0.35">
      <c r="B3" s="5"/>
    </row>
    <row r="4" spans="2:15" ht="18.5" x14ac:dyDescent="0.45">
      <c r="B4" s="6" t="s">
        <v>134</v>
      </c>
      <c r="C4" s="80" t="str">
        <f>+Calculation!E8</f>
        <v>JULIENS</v>
      </c>
      <c r="F4" s="18"/>
      <c r="G4" s="16" t="s">
        <v>133</v>
      </c>
      <c r="H4" s="80" t="str">
        <f>+Calculation!E9</f>
        <v>Albert</v>
      </c>
    </row>
    <row r="5" spans="2:15" ht="8.25" customHeight="1" x14ac:dyDescent="0.35">
      <c r="B5" s="7"/>
    </row>
    <row r="6" spans="2:15" ht="15.5" x14ac:dyDescent="0.35">
      <c r="B6" s="6" t="s">
        <v>135</v>
      </c>
      <c r="G6" s="81" t="str">
        <f>+Calculation!E10</f>
        <v>IAB2</v>
      </c>
    </row>
    <row r="7" spans="2:15" ht="9.75" customHeight="1" thickBot="1" x14ac:dyDescent="0.4">
      <c r="B7" s="7"/>
    </row>
    <row r="8" spans="2:15" ht="16" thickBot="1" x14ac:dyDescent="0.4">
      <c r="B8" s="6" t="s">
        <v>136</v>
      </c>
      <c r="J8" s="17" t="s">
        <v>48</v>
      </c>
      <c r="K8" s="82">
        <f>+Calculation!E12</f>
        <v>7</v>
      </c>
    </row>
    <row r="9" spans="2:15" ht="10.5" customHeight="1" thickBot="1" x14ac:dyDescent="0.4">
      <c r="B9" s="7"/>
    </row>
    <row r="10" spans="2:15" ht="16" thickBot="1" x14ac:dyDescent="0.4">
      <c r="B10" s="6" t="s">
        <v>137</v>
      </c>
      <c r="J10" s="17" t="s">
        <v>47</v>
      </c>
      <c r="K10" s="82">
        <f>+Calculation!E17</f>
        <v>7</v>
      </c>
      <c r="L10" s="18" t="s">
        <v>49</v>
      </c>
    </row>
    <row r="11" spans="2:15" ht="10.5" customHeight="1" thickBot="1" x14ac:dyDescent="0.4">
      <c r="B11" s="7"/>
      <c r="K11" s="22"/>
    </row>
    <row r="12" spans="2:15" ht="16" thickBot="1" x14ac:dyDescent="0.4">
      <c r="B12" s="6" t="s">
        <v>138</v>
      </c>
      <c r="J12" s="17" t="s">
        <v>69</v>
      </c>
      <c r="K12" s="155" t="str">
        <f>Calculation!E19</f>
        <v>Consistent</v>
      </c>
      <c r="L12" s="156"/>
    </row>
    <row r="13" spans="2:15" x14ac:dyDescent="0.35">
      <c r="B13" s="8"/>
    </row>
    <row r="14" spans="2:15" x14ac:dyDescent="0.35">
      <c r="B14" s="9"/>
    </row>
    <row r="15" spans="2:15" ht="18.5" x14ac:dyDescent="0.45">
      <c r="B15" s="83"/>
    </row>
    <row r="16" spans="2:15" ht="12" customHeight="1" thickBot="1" x14ac:dyDescent="0.4">
      <c r="B16" s="10"/>
    </row>
    <row r="17" spans="2:13" s="3" customFormat="1" ht="16" thickBot="1" x14ac:dyDescent="0.4">
      <c r="B17" s="14" t="s">
        <v>139</v>
      </c>
      <c r="J17" s="17" t="s">
        <v>50</v>
      </c>
      <c r="K17" s="82" t="str">
        <f>Calculation!E13</f>
        <v>F12</v>
      </c>
    </row>
    <row r="18" spans="2:13" ht="10.5" customHeight="1" x14ac:dyDescent="0.35">
      <c r="B18" s="10"/>
    </row>
    <row r="19" spans="2:13" ht="15.5" x14ac:dyDescent="0.35">
      <c r="B19" s="11"/>
    </row>
    <row r="20" spans="2:13" ht="18.5" x14ac:dyDescent="0.45">
      <c r="B20" s="83" t="s">
        <v>140</v>
      </c>
    </row>
    <row r="21" spans="2:13" ht="9.75" customHeight="1" thickBot="1" x14ac:dyDescent="0.4">
      <c r="B21" s="10"/>
    </row>
    <row r="22" spans="2:13" ht="16" thickBot="1" x14ac:dyDescent="0.4">
      <c r="B22" s="14" t="s">
        <v>141</v>
      </c>
      <c r="I22" s="18"/>
      <c r="J22" s="17" t="s">
        <v>51</v>
      </c>
      <c r="K22" s="82">
        <f>Calculation!E14</f>
        <v>5500</v>
      </c>
      <c r="L22" s="18" t="s">
        <v>146</v>
      </c>
    </row>
    <row r="23" spans="2:13" ht="5.5" customHeight="1" thickBot="1" x14ac:dyDescent="0.4">
      <c r="B23" s="14"/>
      <c r="I23" s="18"/>
      <c r="J23" s="17"/>
      <c r="K23" s="84"/>
      <c r="L23" s="18"/>
    </row>
    <row r="24" spans="2:13" ht="16" thickBot="1" x14ac:dyDescent="0.4">
      <c r="B24" s="6" t="s">
        <v>145</v>
      </c>
      <c r="J24" s="17" t="s">
        <v>53</v>
      </c>
      <c r="K24" s="85">
        <f>Calculation!E16</f>
        <v>0.16</v>
      </c>
      <c r="L24" s="18"/>
    </row>
    <row r="25" spans="2:13" ht="10.5" customHeight="1" thickBot="1" x14ac:dyDescent="0.4">
      <c r="B25" s="7"/>
      <c r="J25" s="17"/>
      <c r="K25" s="86"/>
      <c r="L25" s="18"/>
    </row>
    <row r="26" spans="2:13" ht="16" thickBot="1" x14ac:dyDescent="0.4">
      <c r="B26" s="21" t="s">
        <v>142</v>
      </c>
      <c r="J26" s="17" t="s">
        <v>52</v>
      </c>
      <c r="K26" s="82">
        <f>Calculation!E26</f>
        <v>76.599999999999994</v>
      </c>
      <c r="L26" s="18" t="s">
        <v>147</v>
      </c>
      <c r="M26" s="2"/>
    </row>
    <row r="27" spans="2:13" ht="15.5" x14ac:dyDescent="0.35">
      <c r="B27" s="15" t="s">
        <v>148</v>
      </c>
      <c r="J27" s="17"/>
      <c r="K27" s="86"/>
      <c r="L27" s="18"/>
    </row>
    <row r="28" spans="2:13" ht="10.5" customHeight="1" x14ac:dyDescent="0.35">
      <c r="B28" s="12"/>
      <c r="J28" s="17"/>
      <c r="K28" s="86"/>
      <c r="L28" s="18"/>
    </row>
    <row r="29" spans="2:13" ht="15.5" x14ac:dyDescent="0.35">
      <c r="B29" s="14" t="s">
        <v>143</v>
      </c>
      <c r="J29" s="17" t="s">
        <v>54</v>
      </c>
      <c r="K29" s="87">
        <f>Calculation!E29</f>
        <v>79</v>
      </c>
      <c r="L29" s="18" t="s">
        <v>147</v>
      </c>
    </row>
    <row r="30" spans="2:13" ht="10.5" customHeight="1" thickBot="1" x14ac:dyDescent="0.4">
      <c r="B30" s="4"/>
      <c r="J30" s="17"/>
      <c r="K30" s="18"/>
      <c r="L30" s="18"/>
    </row>
    <row r="31" spans="2:13" ht="16" thickBot="1" x14ac:dyDescent="0.4">
      <c r="B31" s="21" t="s">
        <v>144</v>
      </c>
      <c r="F31" s="23">
        <f>-ROUND((Calculation!E29-Calculation!E26),1)</f>
        <v>-2.4</v>
      </c>
      <c r="G31" s="18" t="s">
        <v>149</v>
      </c>
      <c r="J31" s="17"/>
      <c r="K31" s="25">
        <f>ROUND(Calculation!E31,3)</f>
        <v>-0.03</v>
      </c>
      <c r="L31" s="18"/>
    </row>
    <row r="32" spans="2:13" ht="10.5" customHeight="1" thickBot="1" x14ac:dyDescent="0.4">
      <c r="B32" s="21"/>
      <c r="F32" s="1"/>
      <c r="J32" s="17"/>
      <c r="K32" s="18"/>
      <c r="L32" s="18"/>
    </row>
    <row r="33" spans="2:12" ht="21" customHeight="1" thickBot="1" x14ac:dyDescent="0.6">
      <c r="B33" s="152" t="s">
        <v>150</v>
      </c>
      <c r="C33" s="152"/>
      <c r="D33" s="152"/>
      <c r="E33" s="152"/>
      <c r="F33" s="152"/>
      <c r="G33" s="152"/>
      <c r="H33" s="152"/>
      <c r="J33" s="88">
        <f>Calculation!E32</f>
        <v>0.97</v>
      </c>
      <c r="L33" s="18"/>
    </row>
    <row r="34" spans="2:12" ht="21" customHeight="1" x14ac:dyDescent="0.5">
      <c r="B34" s="18" t="s">
        <v>152</v>
      </c>
      <c r="C34" s="94"/>
      <c r="D34" s="94"/>
      <c r="E34" s="94"/>
      <c r="F34" s="94"/>
      <c r="G34" s="94"/>
      <c r="H34" s="94"/>
      <c r="J34" s="95"/>
      <c r="L34" s="18"/>
    </row>
    <row r="35" spans="2:12" ht="23.5" customHeight="1" x14ac:dyDescent="0.5">
      <c r="B35" s="96" t="s">
        <v>151</v>
      </c>
      <c r="C35" s="97"/>
      <c r="D35" s="97"/>
      <c r="E35" s="97"/>
      <c r="F35" s="98"/>
      <c r="G35" s="97"/>
      <c r="H35" s="97"/>
      <c r="I35" s="97"/>
      <c r="J35" s="99"/>
      <c r="K35" s="100"/>
      <c r="L35" s="18"/>
    </row>
    <row r="36" spans="2:12" ht="8.5" customHeight="1" thickBot="1" x14ac:dyDescent="0.4">
      <c r="B36" s="18"/>
      <c r="F36" s="1"/>
      <c r="J36" s="17"/>
      <c r="K36" s="18"/>
      <c r="L36" s="18"/>
    </row>
    <row r="37" spans="2:12" ht="16" thickBot="1" x14ac:dyDescent="0.4">
      <c r="B37" s="21" t="s">
        <v>153</v>
      </c>
      <c r="I37" s="17" t="s">
        <v>154</v>
      </c>
      <c r="J37" s="23" t="str">
        <f>IF(K31&lt;-0.1,"X","")</f>
        <v/>
      </c>
      <c r="K37" s="17" t="s">
        <v>155</v>
      </c>
      <c r="L37" s="23" t="str">
        <f>IF(K31&gt;0,"X","")</f>
        <v/>
      </c>
    </row>
    <row r="38" spans="2:12" ht="15.5" x14ac:dyDescent="0.35">
      <c r="B38" s="11"/>
    </row>
    <row r="39" spans="2:12" ht="18.5" x14ac:dyDescent="0.45">
      <c r="B39" s="83" t="s">
        <v>156</v>
      </c>
    </row>
    <row r="40" spans="2:12" ht="12" customHeight="1" x14ac:dyDescent="0.35">
      <c r="B40" s="7"/>
    </row>
    <row r="41" spans="2:12" ht="10.5" customHeight="1" x14ac:dyDescent="0.35">
      <c r="B41" s="13"/>
      <c r="J41" s="17"/>
      <c r="L41" s="20"/>
    </row>
    <row r="42" spans="2:12" ht="15.5" x14ac:dyDescent="0.35">
      <c r="B42" s="6" t="s">
        <v>157</v>
      </c>
      <c r="J42" s="17" t="s">
        <v>56</v>
      </c>
      <c r="K42" s="89">
        <f>Calculation!E35</f>
        <v>5322</v>
      </c>
      <c r="L42" s="20" t="s">
        <v>55</v>
      </c>
    </row>
    <row r="43" spans="2:12" ht="15.5" x14ac:dyDescent="0.35">
      <c r="B43" s="6" t="s">
        <v>158</v>
      </c>
      <c r="J43" s="17" t="s">
        <v>57</v>
      </c>
      <c r="K43" s="90">
        <f>Calculation!E36</f>
        <v>0.14099999999999999</v>
      </c>
      <c r="L43" s="20"/>
    </row>
    <row r="44" spans="2:12" ht="9.75" customHeight="1" thickBot="1" x14ac:dyDescent="0.4">
      <c r="B44" s="7" t="s">
        <v>46</v>
      </c>
      <c r="J44" s="17"/>
      <c r="K44" s="91"/>
      <c r="L44" s="20"/>
    </row>
    <row r="45" spans="2:12" ht="16" thickBot="1" x14ac:dyDescent="0.4">
      <c r="B45" s="21" t="s">
        <v>160</v>
      </c>
      <c r="J45" s="17" t="s">
        <v>58</v>
      </c>
      <c r="K45" s="65">
        <f>K22-K42</f>
        <v>178</v>
      </c>
      <c r="L45" s="20" t="s">
        <v>62</v>
      </c>
    </row>
    <row r="46" spans="2:12" ht="6" customHeight="1" thickBot="1" x14ac:dyDescent="0.4">
      <c r="B46" s="21"/>
      <c r="J46" s="17"/>
      <c r="K46" s="1"/>
      <c r="L46" s="20"/>
    </row>
    <row r="47" spans="2:12" ht="16" thickBot="1" x14ac:dyDescent="0.4">
      <c r="B47" s="21" t="s">
        <v>159</v>
      </c>
      <c r="J47" s="17" t="s">
        <v>59</v>
      </c>
      <c r="K47" s="24">
        <f>K45/K42</f>
        <v>3.3446072904922963E-2</v>
      </c>
      <c r="L47" s="20"/>
    </row>
    <row r="48" spans="2:12" ht="6" customHeight="1" thickBot="1" x14ac:dyDescent="0.4">
      <c r="B48" s="6"/>
      <c r="J48" s="17"/>
      <c r="K48" s="1"/>
      <c r="L48" s="20"/>
    </row>
    <row r="49" spans="2:12" ht="16" thickBot="1" x14ac:dyDescent="0.4">
      <c r="B49" s="21" t="s">
        <v>161</v>
      </c>
      <c r="J49" s="17" t="s">
        <v>60</v>
      </c>
      <c r="K49" s="92">
        <f>K24-K43</f>
        <v>1.9000000000000017E-2</v>
      </c>
      <c r="L49" s="20"/>
    </row>
    <row r="50" spans="2:12" ht="6" customHeight="1" thickBot="1" x14ac:dyDescent="0.4">
      <c r="B50" s="6"/>
      <c r="J50" s="17"/>
      <c r="K50" s="1"/>
      <c r="L50" s="20"/>
    </row>
    <row r="51" spans="2:12" ht="16" thickBot="1" x14ac:dyDescent="0.4">
      <c r="B51" s="21" t="s">
        <v>162</v>
      </c>
      <c r="J51" s="17" t="s">
        <v>61</v>
      </c>
      <c r="K51" s="26">
        <f>1/(K42*(1+K43)/K22/(1+K24))-1</f>
        <v>5.065507850106088E-2</v>
      </c>
      <c r="L51" s="20"/>
    </row>
  </sheetData>
  <sheetProtection algorithmName="SHA-512" hashValue="aiQMkmZqfbfFYrfoOwd5BoSBSyaFCyIVQNvCp5HpTVWp/q2xX7+U8Qel5U1FhCnhT0HFKQ/FTiYqnxolln2mYQ==" saltValue="RBX5UYtQ5ZSNCiGxgz3VoQ==" spinCount="100000" sheet="1" objects="1" selectLockedCells="1"/>
  <mergeCells count="3">
    <mergeCell ref="B33:H33"/>
    <mergeCell ref="B2:L2"/>
    <mergeCell ref="K12:L12"/>
  </mergeCells>
  <conditionalFormatting sqref="F31">
    <cfRule type="cellIs" dxfId="4" priority="3" operator="between">
      <formula>-100</formula>
      <formula>0</formula>
    </cfRule>
  </conditionalFormatting>
  <conditionalFormatting sqref="K31">
    <cfRule type="cellIs" dxfId="3" priority="2" operator="between">
      <formula>-100</formula>
      <formula>0</formula>
    </cfRule>
  </conditionalFormatting>
  <conditionalFormatting sqref="K41:K51">
    <cfRule type="cellIs" dxfId="2" priority="1" operator="between">
      <formula>-10000</formula>
      <formula>-0.0001</formula>
    </cfRule>
  </conditionalFormatting>
  <printOptions horizontalCentered="1" verticalCentered="1"/>
  <pageMargins left="0.11811023622047245" right="0.11811023622047245" top="0.15748031496062992" bottom="0.15748031496062992" header="0" footer="0.11811023622047245"/>
  <pageSetup scale="81" orientation="portrait" r:id="rId1"/>
  <headerFooter>
    <oddFooter>&amp;C&amp;1#&amp;"Arial"&amp;6&amp;K626469Internal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D36"/>
  <sheetViews>
    <sheetView topLeftCell="A29" zoomScale="60" zoomScaleNormal="60" workbookViewId="0">
      <selection activeCell="P38" sqref="P38"/>
    </sheetView>
  </sheetViews>
  <sheetFormatPr baseColWidth="10" defaultColWidth="11.453125" defaultRowHeight="14.5" x14ac:dyDescent="0.35"/>
  <cols>
    <col min="1" max="16384" width="11.453125" style="60"/>
  </cols>
  <sheetData>
    <row r="4" spans="3:4" ht="18.5" x14ac:dyDescent="0.45">
      <c r="C4" s="73"/>
    </row>
    <row r="5" spans="3:4" ht="18.5" x14ac:dyDescent="0.45">
      <c r="D5" s="74"/>
    </row>
    <row r="26" spans="2:3" ht="18.5" x14ac:dyDescent="0.45">
      <c r="B26" s="73"/>
    </row>
    <row r="27" spans="2:3" ht="18.5" x14ac:dyDescent="0.45">
      <c r="C27" s="74"/>
    </row>
    <row r="31" spans="2:3" ht="18.5" x14ac:dyDescent="0.45">
      <c r="B31" s="73"/>
    </row>
    <row r="32" spans="2:3" ht="18.5" x14ac:dyDescent="0.45">
      <c r="B32" s="79"/>
    </row>
    <row r="33" spans="2:2" ht="18.5" x14ac:dyDescent="0.45">
      <c r="B33" s="73"/>
    </row>
    <row r="34" spans="2:2" ht="18.5" x14ac:dyDescent="0.45">
      <c r="B34" s="79"/>
    </row>
    <row r="36" spans="2:2" ht="18.5" x14ac:dyDescent="0.45">
      <c r="B36" s="93"/>
    </row>
  </sheetData>
  <sheetProtection algorithmName="SHA-512" hashValue="3iRUoa2I46rbz0KMoeDWI5dWUnYRdvqsM646PX5fxSeEtDj46DGBHe6YVLn7YjgdZYO+HpoFjiGw5YDw0Ea8Mw==" saltValue="c4h33M/fA7tX6jbu5kXPCQ==" spinCount="100000" sheet="1" selectLockedCells="1" selectUnlockedCells="1"/>
  <pageMargins left="0.31496062992125984" right="0.31496062992125984" top="0.15748031496062992" bottom="0.15748031496062992" header="0.11811023622047244" footer="0.11811023622047244"/>
  <pageSetup paperSize="9" scale="50" orientation="portrait" r:id="rId1"/>
  <headerFooter>
    <oddFooter>&amp;C&amp;1#&amp;"Arial"&amp;6&amp;K626469Internal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E36"/>
  <sheetViews>
    <sheetView zoomScale="30" zoomScaleNormal="30" workbookViewId="0">
      <selection activeCell="P38" sqref="P38"/>
    </sheetView>
  </sheetViews>
  <sheetFormatPr baseColWidth="10" defaultColWidth="11.453125" defaultRowHeight="14.5" x14ac:dyDescent="0.35"/>
  <cols>
    <col min="1" max="5" width="11.453125" style="60"/>
    <col min="6" max="6" width="8.26953125" style="60" customWidth="1"/>
    <col min="7" max="7" width="11.453125" style="60"/>
    <col min="8" max="8" width="8.26953125" style="60" customWidth="1"/>
    <col min="9" max="16384" width="11.453125" style="60"/>
  </cols>
  <sheetData>
    <row r="24" spans="1:5" ht="18.5" x14ac:dyDescent="0.45">
      <c r="E24" s="75"/>
    </row>
    <row r="25" spans="1:5" ht="15.5" x14ac:dyDescent="0.35">
      <c r="D25" s="77"/>
    </row>
    <row r="26" spans="1:5" ht="15.5" x14ac:dyDescent="0.35">
      <c r="E26" s="76"/>
    </row>
    <row r="32" spans="1:5" ht="15" customHeight="1" x14ac:dyDescent="0.35">
      <c r="A32" s="69"/>
      <c r="D32" s="61"/>
    </row>
    <row r="33" spans="1:4" x14ac:dyDescent="0.35">
      <c r="A33" s="69"/>
      <c r="C33" s="63"/>
      <c r="D33" s="62"/>
    </row>
    <row r="34" spans="1:4" x14ac:dyDescent="0.35">
      <c r="A34" s="69"/>
    </row>
    <row r="35" spans="1:4" x14ac:dyDescent="0.35">
      <c r="A35" s="70"/>
      <c r="C35" s="63"/>
    </row>
    <row r="36" spans="1:4" x14ac:dyDescent="0.35">
      <c r="A36" s="69"/>
    </row>
  </sheetData>
  <sheetProtection algorithmName="SHA-512" hashValue="1OT+urM7bN5gbNowLGo5vKvwB+aS6ZNBdJ3omugvK8WIZwGGbpvw7Z89HvDi5EfmtTT+xblcaWGEx8q/wfn5Hw==" saltValue="aNHRkNre9hc9spqeQPj5XA==" spinCount="100000" sheet="1" selectLockedCells="1" selectUnlockedCells="1"/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48" orientation="portrait" r:id="rId1"/>
  <headerFooter>
    <oddFooter>&amp;C&amp;1#&amp;"Arial"&amp;6&amp;K626469Internal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5466F1FCC5A4083280BF0AA5FDDB5" ma:contentTypeVersion="10" ma:contentTypeDescription="Create a new document." ma:contentTypeScope="" ma:versionID="bdd67b3985639f97b8f62567715015bb">
  <xsd:schema xmlns:xsd="http://www.w3.org/2001/XMLSchema" xmlns:xs="http://www.w3.org/2001/XMLSchema" xmlns:p="http://schemas.microsoft.com/office/2006/metadata/properties" xmlns:ns3="7df8bd21-6d6f-4018-baa6-1c9896eaccae" targetNamespace="http://schemas.microsoft.com/office/2006/metadata/properties" ma:root="true" ma:fieldsID="156a065437a70976321df4418fa189a2" ns3:_="">
    <xsd:import namespace="7df8bd21-6d6f-4018-baa6-1c9896eacc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8bd21-6d6f-4018-baa6-1c9896eac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0A9DE-9910-4A99-AA9D-783DFCB02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8bd21-6d6f-4018-baa6-1c9896ea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AB8ED-32DB-48CE-94A4-60BAC1E6E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A8C16-181B-4DBE-8213-93EF4A555065}">
  <ds:schemaRefs>
    <ds:schemaRef ds:uri="7df8bd21-6d6f-4018-baa6-1c9896eacca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3f93e5f-d3c2-49a7-ba94-15405423c204}" enabled="1" method="Standard" siteId="{6e51e1ad-c54b-4b39-b598-0ffe9ae68f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Calculation</vt:lpstr>
      <vt:lpstr>Données</vt:lpstr>
      <vt:lpstr>Summary sheet to print</vt:lpstr>
      <vt:lpstr>OATAM's Table</vt:lpstr>
      <vt:lpstr>Cadre's Table</vt:lpstr>
    </vt:vector>
  </TitlesOfParts>
  <Company>Schneider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CFTC</dc:creator>
  <cp:lastModifiedBy>Francois SOENEN</cp:lastModifiedBy>
  <cp:lastPrinted>2022-12-21T16:34:53Z</cp:lastPrinted>
  <dcterms:created xsi:type="dcterms:W3CDTF">2016-02-29T15:58:51Z</dcterms:created>
  <dcterms:modified xsi:type="dcterms:W3CDTF">2026-05-21T07:17:55Z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0x010100D775466F1FCC5A4083280BF0AA5FDDB5</vt:lpwstr>
  </property>
  <property fmtid="{D5CDD505-2E9C-101B-9397-08002B2CF9AE}" pid="3" name="MSIP_Label_23f93e5f-d3c2-49a7-ba94-15405423c204_Enabled">
    <vt:lpwstr>true</vt:lpwstr>
  </property>
  <property fmtid="{D5CDD505-2E9C-101B-9397-08002B2CF9AE}" pid="4" name="MSIP_Label_23f93e5f-d3c2-49a7-ba94-15405423c204_SetDate">
    <vt:lpwstr>2023-10-27T11:47:37Z</vt:lpwstr>
  </property>
  <property fmtid="{D5CDD505-2E9C-101B-9397-08002B2CF9AE}" pid="5" name="MSIP_Label_23f93e5f-d3c2-49a7-ba94-15405423c204_Method">
    <vt:lpwstr>Standard</vt:lpwstr>
  </property>
  <property fmtid="{D5CDD505-2E9C-101B-9397-08002B2CF9AE}" pid="6" name="MSIP_Label_23f93e5f-d3c2-49a7-ba94-15405423c204_Name">
    <vt:lpwstr>SE Internal</vt:lpwstr>
  </property>
  <property fmtid="{D5CDD505-2E9C-101B-9397-08002B2CF9AE}" pid="7" name="MSIP_Label_23f93e5f-d3c2-49a7-ba94-15405423c204_SiteId">
    <vt:lpwstr>6e51e1ad-c54b-4b39-b598-0ffe9ae68fef</vt:lpwstr>
  </property>
  <property fmtid="{D5CDD505-2E9C-101B-9397-08002B2CF9AE}" pid="8" name="MSIP_Label_23f93e5f-d3c2-49a7-ba94-15405423c204_ActionId">
    <vt:lpwstr>36d75b7f-e658-43ff-9584-96d0ba1cb4b7</vt:lpwstr>
  </property>
  <property fmtid="{D5CDD505-2E9C-101B-9397-08002B2CF9AE}" pid="9" name="MSIP_Label_23f93e5f-d3c2-49a7-ba94-15405423c204_ContentBits">
    <vt:lpwstr>2</vt:lpwstr>
  </property>
</Properties>
</file>